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date1904="1" backupFile="1"/>
  <mc:AlternateContent xmlns:mc="http://schemas.openxmlformats.org/markup-compatibility/2006">
    <mc:Choice Requires="x15">
      <x15ac:absPath xmlns:x15ac="http://schemas.microsoft.com/office/spreadsheetml/2010/11/ac" url="G:\F\FinSt_2020_B_Audit\R\Right Tunnelling\Q2'2020\"/>
    </mc:Choice>
  </mc:AlternateContent>
  <xr:revisionPtr revIDLastSave="0" documentId="13_ncr:1_{EBE4B097-979C-4180-B2D7-C59CAE16744D}" xr6:coauthVersionLast="36" xr6:coauthVersionMax="44" xr10:uidLastSave="{00000000-0000-0000-0000-000000000000}"/>
  <bookViews>
    <workbookView xWindow="0" yWindow="0" windowWidth="20490" windowHeight="7545" xr2:uid="{00000000-000D-0000-FFFF-FFFF00000000}"/>
  </bookViews>
  <sheets>
    <sheet name="BS " sheetId="6" r:id="rId1"/>
    <sheet name="PL&amp;CF" sheetId="1" r:id="rId2"/>
    <sheet name="Conso" sheetId="2" r:id="rId3"/>
    <sheet name="The Company" sheetId="3" r:id="rId4"/>
    <sheet name="000" sheetId="4" state="veryHidden" r:id="rId5"/>
  </sheets>
  <definedNames>
    <definedName name="_xlnm.Print_Area" localSheetId="2">Conso!$A$1:$U$26</definedName>
    <definedName name="_xlnm.Print_Area" localSheetId="1">'PL&amp;CF'!$A$1:$K$198</definedName>
    <definedName name="_xlnm.Print_Area" localSheetId="3">'The Company'!$A$1:$L$22</definedName>
    <definedName name="Z_70B1E187_2C74_4CE5_B1A1_8B33C5B641E8_.wvu.PrintArea" localSheetId="0" hidden="1">'BS '!$B$1:$J$102</definedName>
    <definedName name="Z_70B1E187_2C74_4CE5_B1A1_8B33C5B641E8_.wvu.PrintArea" localSheetId="1" hidden="1">'PL&amp;CF'!$B$1:$K$195</definedName>
  </definedNames>
  <calcPr calcId="191029"/>
  <customWorkbookViews>
    <customWorkbookView name="YourNameHere - Personal View" guid="{70B1E187-2C74-4CE5-B1A1-8B33C5B641E8}" mergeInterval="0" personalView="1" maximized="1" windowWidth="994" windowHeight="537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87" i="1" l="1"/>
  <c r="D26" i="6" l="1"/>
  <c r="H26" i="6"/>
  <c r="D51" i="6"/>
  <c r="H51" i="6"/>
  <c r="D16" i="6"/>
  <c r="H16" i="6"/>
  <c r="H54" i="6" l="1"/>
  <c r="H27" i="6"/>
  <c r="I20" i="1"/>
  <c r="I78" i="1"/>
  <c r="D62" i="6"/>
  <c r="D44" i="6"/>
  <c r="I25" i="1" l="1"/>
  <c r="E25" i="1"/>
  <c r="I23" i="1"/>
  <c r="E23" i="1"/>
  <c r="E20" i="1"/>
  <c r="I17" i="1"/>
  <c r="E17" i="1"/>
  <c r="I14" i="1"/>
  <c r="E14" i="1"/>
  <c r="E83" i="1" l="1"/>
  <c r="I83" i="1"/>
  <c r="H44" i="6"/>
  <c r="E81" i="1" l="1"/>
  <c r="I81" i="1"/>
  <c r="E78" i="1"/>
  <c r="I75" i="1"/>
  <c r="E75" i="1"/>
  <c r="I72" i="1"/>
  <c r="E72" i="1"/>
  <c r="H62" i="6"/>
  <c r="D54" i="6"/>
  <c r="H45" i="6"/>
  <c r="D45" i="6"/>
  <c r="H43" i="6"/>
  <c r="D43" i="6"/>
  <c r="H13" i="6"/>
  <c r="D13" i="6"/>
  <c r="T29" i="1" l="1"/>
  <c r="R29" i="1"/>
  <c r="P29" i="1"/>
  <c r="N29" i="1"/>
  <c r="T23" i="1"/>
  <c r="T20" i="1"/>
  <c r="T19" i="1"/>
  <c r="T16" i="1"/>
  <c r="T13" i="1"/>
  <c r="T11" i="1"/>
  <c r="R25" i="1"/>
  <c r="R23" i="1"/>
  <c r="R20" i="1"/>
  <c r="R19" i="1"/>
  <c r="R18" i="1"/>
  <c r="R17" i="1"/>
  <c r="R16" i="1"/>
  <c r="R14" i="1"/>
  <c r="R13" i="1"/>
  <c r="R12" i="1"/>
  <c r="R11" i="1"/>
  <c r="P23" i="1"/>
  <c r="P20" i="1"/>
  <c r="P19" i="1"/>
  <c r="P16" i="1"/>
  <c r="P13" i="1"/>
  <c r="P11" i="1"/>
  <c r="N25" i="1"/>
  <c r="N23" i="1"/>
  <c r="N20" i="1"/>
  <c r="N19" i="1"/>
  <c r="N18" i="1"/>
  <c r="N17" i="1"/>
  <c r="N16" i="1"/>
  <c r="N14" i="1"/>
  <c r="N13" i="1"/>
  <c r="N12" i="1"/>
  <c r="N11" i="1"/>
  <c r="I22" i="2" l="1"/>
  <c r="G32" i="1" l="1"/>
  <c r="K32" i="1"/>
  <c r="I32" i="1" l="1"/>
  <c r="E32" i="1"/>
  <c r="H55" i="6"/>
  <c r="H17" i="6"/>
  <c r="H28" i="6"/>
  <c r="K93" i="1" l="1"/>
  <c r="T32" i="1" s="1"/>
  <c r="I93" i="1"/>
  <c r="R32" i="1" s="1"/>
  <c r="E93" i="1"/>
  <c r="N32" i="1" s="1"/>
  <c r="G93" i="1"/>
  <c r="P32" i="1" s="1"/>
  <c r="J19" i="3" l="1"/>
  <c r="J20" i="3" s="1"/>
  <c r="F19" i="3"/>
  <c r="F20" i="3" s="1"/>
  <c r="D19" i="3"/>
  <c r="D20" i="3" s="1"/>
  <c r="B19" i="3"/>
  <c r="B20" i="3" s="1"/>
  <c r="J90" i="6" l="1"/>
  <c r="J89" i="6"/>
  <c r="J88" i="6"/>
  <c r="J86" i="6"/>
  <c r="J85" i="6"/>
  <c r="F92" i="6"/>
  <c r="F89" i="6"/>
  <c r="F88" i="6"/>
  <c r="F86" i="6"/>
  <c r="F85" i="6"/>
  <c r="E95" i="6"/>
  <c r="J63" i="6"/>
  <c r="H63" i="6"/>
  <c r="F63" i="6"/>
  <c r="D63" i="6"/>
  <c r="J55" i="6"/>
  <c r="F55" i="6"/>
  <c r="D55" i="6"/>
  <c r="J28" i="6"/>
  <c r="F28" i="6"/>
  <c r="D28" i="6"/>
  <c r="J17" i="6"/>
  <c r="F17" i="6"/>
  <c r="D17" i="6"/>
  <c r="F64" i="6" l="1"/>
  <c r="F29" i="6"/>
  <c r="H64" i="6"/>
  <c r="D64" i="6"/>
  <c r="J29" i="6"/>
  <c r="J64" i="6"/>
  <c r="J91" i="6"/>
  <c r="J93" i="6" s="1"/>
  <c r="H29" i="6"/>
  <c r="D29" i="6"/>
  <c r="J94" i="6" l="1"/>
  <c r="J95" i="6" s="1"/>
  <c r="K178" i="1"/>
  <c r="G178" i="1"/>
  <c r="K79" i="1"/>
  <c r="K72" i="1"/>
  <c r="K70" i="1"/>
  <c r="G79" i="1"/>
  <c r="G72" i="1"/>
  <c r="G70" i="1"/>
  <c r="K25" i="1"/>
  <c r="T25" i="1" s="1"/>
  <c r="G25" i="1"/>
  <c r="P25" i="1" s="1"/>
  <c r="K18" i="1"/>
  <c r="T18" i="1" s="1"/>
  <c r="K17" i="1"/>
  <c r="T17" i="1" s="1"/>
  <c r="K14" i="1"/>
  <c r="K12" i="1"/>
  <c r="G18" i="1"/>
  <c r="P18" i="1" s="1"/>
  <c r="G17" i="1"/>
  <c r="P17" i="1" s="1"/>
  <c r="G14" i="1"/>
  <c r="G12" i="1"/>
  <c r="T14" i="1" l="1"/>
  <c r="P14" i="1"/>
  <c r="G15" i="1"/>
  <c r="P12" i="1"/>
  <c r="T12" i="1"/>
  <c r="K15" i="1"/>
  <c r="G73" i="1"/>
  <c r="G80" i="1" s="1"/>
  <c r="G82" i="1" s="1"/>
  <c r="G84" i="1" s="1"/>
  <c r="G109" i="1" s="1"/>
  <c r="G107" i="1" s="1"/>
  <c r="G117" i="1" s="1"/>
  <c r="K73" i="1"/>
  <c r="K80" i="1" s="1"/>
  <c r="K82" i="1" s="1"/>
  <c r="K84" i="1" s="1"/>
  <c r="K107" i="1" s="1"/>
  <c r="K117" i="1" s="1"/>
  <c r="K21" i="1"/>
  <c r="T21" i="1" s="1"/>
  <c r="G21" i="1"/>
  <c r="P21" i="1" s="1"/>
  <c r="P15" i="1" l="1"/>
  <c r="T15" i="1"/>
  <c r="G95" i="1"/>
  <c r="G114" i="1" s="1"/>
  <c r="G112" i="1" s="1"/>
  <c r="K95" i="1"/>
  <c r="K112" i="1" s="1"/>
  <c r="I21" i="1"/>
  <c r="E21" i="1"/>
  <c r="S22" i="2" l="1"/>
  <c r="S21" i="2"/>
  <c r="I190" i="1" l="1"/>
  <c r="E190" i="1"/>
  <c r="E73" i="1" l="1"/>
  <c r="E15" i="1" l="1"/>
  <c r="N15" i="1" s="1"/>
  <c r="E22" i="1" l="1"/>
  <c r="E24" i="1" s="1"/>
  <c r="I15" i="1" l="1"/>
  <c r="I73" i="1"/>
  <c r="R15" i="1" l="1"/>
  <c r="K187" i="1"/>
  <c r="G187" i="1"/>
  <c r="O21" i="2" l="1"/>
  <c r="C17" i="2"/>
  <c r="E17" i="2"/>
  <c r="G17" i="2"/>
  <c r="K17" i="2"/>
  <c r="M17" i="2"/>
  <c r="S17" i="2"/>
  <c r="K22" i="1" l="1"/>
  <c r="G22" i="1"/>
  <c r="U16" i="2"/>
  <c r="O16" i="2"/>
  <c r="Q16" i="2" s="1"/>
  <c r="O15" i="2"/>
  <c r="G24" i="1" l="1"/>
  <c r="P22" i="1"/>
  <c r="K24" i="1"/>
  <c r="T22" i="1"/>
  <c r="O17" i="2"/>
  <c r="K26" i="1" l="1"/>
  <c r="T24" i="1"/>
  <c r="G26" i="1"/>
  <c r="P24" i="1"/>
  <c r="H14" i="3"/>
  <c r="K129" i="1"/>
  <c r="T26" i="1" l="1"/>
  <c r="K34" i="1"/>
  <c r="K46" i="1"/>
  <c r="K56" i="1" s="1"/>
  <c r="P26" i="1"/>
  <c r="G48" i="1"/>
  <c r="G46" i="1" s="1"/>
  <c r="G56" i="1" s="1"/>
  <c r="G34" i="1"/>
  <c r="I17" i="2"/>
  <c r="Q15" i="2"/>
  <c r="E79" i="1"/>
  <c r="N21" i="1" s="1"/>
  <c r="G53" i="1" l="1"/>
  <c r="G51" i="1" s="1"/>
  <c r="P34" i="1"/>
  <c r="T34" i="1"/>
  <c r="K51" i="1"/>
  <c r="Q17" i="2"/>
  <c r="U15" i="2"/>
  <c r="U17" i="2" s="1"/>
  <c r="O20" i="2"/>
  <c r="F90" i="6" s="1"/>
  <c r="F91" i="6" s="1"/>
  <c r="F93" i="6" s="1"/>
  <c r="F94" i="6" s="1"/>
  <c r="F95" i="6" s="1"/>
  <c r="S23" i="2" l="1"/>
  <c r="S24" i="2" l="1"/>
  <c r="D92" i="6" s="1"/>
  <c r="L16" i="3" l="1"/>
  <c r="C23" i="2"/>
  <c r="C24" i="2" s="1"/>
  <c r="D85" i="6" s="1"/>
  <c r="E23" i="2"/>
  <c r="E24" i="2" s="1"/>
  <c r="D86" i="6" s="1"/>
  <c r="M23" i="2"/>
  <c r="M24" i="2" s="1"/>
  <c r="G23" i="2"/>
  <c r="G24" i="2" s="1"/>
  <c r="D88" i="6" s="1"/>
  <c r="Q20" i="2"/>
  <c r="U20" i="2" s="1"/>
  <c r="S18" i="2" l="1"/>
  <c r="M18" i="2"/>
  <c r="K18" i="2"/>
  <c r="G18" i="2"/>
  <c r="E18" i="2"/>
  <c r="C18" i="2"/>
  <c r="O14" i="2"/>
  <c r="Q14" i="2" s="1"/>
  <c r="U14" i="2" l="1"/>
  <c r="O18" i="2"/>
  <c r="J189" i="1" l="1"/>
  <c r="H189" i="1"/>
  <c r="K142" i="1" l="1"/>
  <c r="K158" i="1" s="1"/>
  <c r="K160" i="1" s="1"/>
  <c r="G129" i="1"/>
  <c r="H90" i="6"/>
  <c r="H88" i="6"/>
  <c r="H86" i="6"/>
  <c r="H85" i="6"/>
  <c r="G142" i="1" l="1"/>
  <c r="G158" i="1" s="1"/>
  <c r="G160" i="1" s="1"/>
  <c r="I79" i="1"/>
  <c r="R21" i="1" s="1"/>
  <c r="K189" i="1" l="1"/>
  <c r="K191" i="1" s="1"/>
  <c r="K192" i="1" s="1"/>
  <c r="I18" i="2"/>
  <c r="I178" i="1"/>
  <c r="E178" i="1"/>
  <c r="L12" i="3"/>
  <c r="G189" i="1" l="1"/>
  <c r="G191" i="1" s="1"/>
  <c r="G192" i="1" s="1"/>
  <c r="U18" i="2"/>
  <c r="Q18" i="2"/>
  <c r="J14" i="3" l="1"/>
  <c r="B14" i="3"/>
  <c r="D14" i="3"/>
  <c r="F14" i="3"/>
  <c r="F117" i="1"/>
  <c r="I80" i="1" l="1"/>
  <c r="E80" i="1"/>
  <c r="N22" i="1" s="1"/>
  <c r="I82" i="1" l="1"/>
  <c r="E82" i="1"/>
  <c r="N24" i="1" s="1"/>
  <c r="I84" i="1" l="1"/>
  <c r="I129" i="1"/>
  <c r="I142" i="1" s="1"/>
  <c r="I158" i="1" s="1"/>
  <c r="E84" i="1"/>
  <c r="E129" i="1"/>
  <c r="E142" i="1" s="1"/>
  <c r="E158" i="1" s="1"/>
  <c r="L13" i="3"/>
  <c r="I95" i="1" l="1"/>
  <c r="I107" i="1"/>
  <c r="I117" i="1" s="1"/>
  <c r="E95" i="1"/>
  <c r="E114" i="1"/>
  <c r="E109" i="1"/>
  <c r="H17" i="3" l="1"/>
  <c r="L17" i="3" s="1"/>
  <c r="I112" i="1"/>
  <c r="H18" i="3" s="1"/>
  <c r="L18" i="3" s="1"/>
  <c r="E107" i="1"/>
  <c r="E117" i="1" s="1"/>
  <c r="E112" i="1"/>
  <c r="H19" i="3" l="1"/>
  <c r="H20" i="3" s="1"/>
  <c r="H89" i="6" s="1"/>
  <c r="H91" i="6" s="1"/>
  <c r="H93" i="6" s="1"/>
  <c r="H94" i="6" s="1"/>
  <c r="H95" i="6" s="1"/>
  <c r="L19" i="3"/>
  <c r="L20" i="3" s="1"/>
  <c r="I21" i="2"/>
  <c r="I23" i="2" s="1"/>
  <c r="K22" i="2"/>
  <c r="O22" i="2" s="1"/>
  <c r="Q22" i="2" s="1"/>
  <c r="I22" i="1"/>
  <c r="R22" i="1" s="1"/>
  <c r="U22" i="2" l="1"/>
  <c r="L21" i="3"/>
  <c r="K23" i="2"/>
  <c r="O23" i="2" s="1"/>
  <c r="O24" i="2" s="1"/>
  <c r="D90" i="6" s="1"/>
  <c r="L14" i="3"/>
  <c r="K24" i="2" l="1"/>
  <c r="I187" i="1"/>
  <c r="J159" i="3" l="1"/>
  <c r="J164" i="3" s="1"/>
  <c r="I24" i="1" l="1"/>
  <c r="R24" i="1" s="1"/>
  <c r="I253" i="2"/>
  <c r="H254" i="3"/>
  <c r="E251" i="2"/>
  <c r="E252" i="2" s="1"/>
  <c r="D252" i="3"/>
  <c r="D253" i="3" s="1"/>
  <c r="E158" i="2"/>
  <c r="E163" i="2" s="1"/>
  <c r="D159" i="3"/>
  <c r="D164" i="3" s="1"/>
  <c r="I26" i="1" l="1"/>
  <c r="R26" i="1" s="1"/>
  <c r="I46" i="1" l="1"/>
  <c r="I56" i="1" s="1"/>
  <c r="I34" i="1"/>
  <c r="R34" i="1" s="1"/>
  <c r="I160" i="1"/>
  <c r="I189" i="1" s="1"/>
  <c r="E26" i="1"/>
  <c r="N26" i="1" s="1"/>
  <c r="I51" i="1" l="1"/>
  <c r="E48" i="1"/>
  <c r="E34" i="1"/>
  <c r="N34" i="1" s="1"/>
  <c r="I191" i="1"/>
  <c r="E160" i="1"/>
  <c r="E46" i="1" l="1"/>
  <c r="E56" i="1" s="1"/>
  <c r="E53" i="1"/>
  <c r="E189" i="1"/>
  <c r="E191" i="1" s="1"/>
  <c r="E192" i="1" s="1"/>
  <c r="Q21" i="2"/>
  <c r="I192" i="1"/>
  <c r="E51" i="1" l="1"/>
  <c r="U21" i="2"/>
  <c r="U23" i="2" s="1"/>
  <c r="U24" i="2" s="1"/>
  <c r="I24" i="2"/>
  <c r="D89" i="6" s="1"/>
  <c r="D91" i="6" s="1"/>
  <c r="D93" i="6" s="1"/>
  <c r="D94" i="6" s="1"/>
  <c r="D95" i="6" s="1"/>
  <c r="Q23" i="2"/>
  <c r="Q24" i="2" s="1"/>
  <c r="U25" i="2" l="1"/>
</calcChain>
</file>

<file path=xl/sharedStrings.xml><?xml version="1.0" encoding="utf-8"?>
<sst xmlns="http://schemas.openxmlformats.org/spreadsheetml/2006/main" count="388" uniqueCount="213">
  <si>
    <t>งบการเงินรวม</t>
  </si>
  <si>
    <t>หมายเหตุ</t>
  </si>
  <si>
    <t>สินทรัพย์หมุนเวียน</t>
  </si>
  <si>
    <t>รวมสินทรัพย์หมุนเวียน</t>
  </si>
  <si>
    <t>รวมสินทรัพย์</t>
  </si>
  <si>
    <t>หนี้สินหมุนเวียน</t>
  </si>
  <si>
    <t>รวมหนี้สินหมุนเวียน</t>
  </si>
  <si>
    <t>รวมหนี้สิน</t>
  </si>
  <si>
    <t>ส่วนของผู้ถือหุ้น</t>
  </si>
  <si>
    <t>รวมหนี้สินและส่วนของผู้ถือหุ้น</t>
  </si>
  <si>
    <t>ทุนเรือนหุ้น</t>
  </si>
  <si>
    <t>งบกระแสเงินสด</t>
  </si>
  <si>
    <t>งบกระแสเงินสด (ต่อ)</t>
  </si>
  <si>
    <t>รวม</t>
  </si>
  <si>
    <t>จัดสรรแล้ว</t>
  </si>
  <si>
    <t>ยังไม่ได้จัดสรร</t>
  </si>
  <si>
    <t>สินทรัพย์ไม่หมุนเวียน</t>
  </si>
  <si>
    <t>รวมสินทรัพย์ไม่หมุนเวียน</t>
  </si>
  <si>
    <t>หนี้สินไม่หมุนเวียน</t>
  </si>
  <si>
    <t>รวมหนี้สินไม่หมุนเวียน</t>
  </si>
  <si>
    <t>รายได้</t>
  </si>
  <si>
    <t>รวมรายได้</t>
  </si>
  <si>
    <t>ค่าใช้จ่าย</t>
  </si>
  <si>
    <t>รวมค่าใช้จ่าย</t>
  </si>
  <si>
    <t xml:space="preserve">รวมส่วนของผู้ถือหุ้น </t>
  </si>
  <si>
    <t>งบแสดงการเปลี่ยนแปลงส่วนของผู้ถือหุ้น</t>
  </si>
  <si>
    <t xml:space="preserve">ข้อมูลกระแสเงินสดเปิดเผยเพิ่มเติม </t>
  </si>
  <si>
    <t>กำไรสะสม</t>
  </si>
  <si>
    <t>(ยังไม่ได้ตรวจสอบ</t>
  </si>
  <si>
    <t>(ตรวจสอบแล้ว)</t>
  </si>
  <si>
    <t>แต่สอบทานแล้ว)</t>
  </si>
  <si>
    <t>งบการเงินเฉพาะกิจการ</t>
  </si>
  <si>
    <t>กระแสเงินสดจากกิจกรรมลงทุน</t>
  </si>
  <si>
    <t>กระแสเงินสดจากกิจกรรมดำเนินงาน</t>
  </si>
  <si>
    <t>กระแสเงินสดจากกิจกรรมจัดหาเงิน</t>
  </si>
  <si>
    <t>งบแสดงการเปลี่ยนแปลงส่วนของผู้ถือหุ้น (ต่อ)</t>
  </si>
  <si>
    <t>(หน่วย: พันบาท)</t>
  </si>
  <si>
    <t>ส่วนของผู้ถือหุ้นของบริษัทฯ</t>
  </si>
  <si>
    <t>เงินสดและรายการเทียบเท่าเงินสด</t>
  </si>
  <si>
    <t>สินทรัพย์หมุนเวียนอื่น</t>
  </si>
  <si>
    <t>สินทรัพย์ไม่หมุนเวียนอื่น</t>
  </si>
  <si>
    <t>เงินเบิกเกินบัญชีและเงินกู้ยืมระยะสั้นจากสถาบันการเงิน</t>
  </si>
  <si>
    <t>หนี้สินหมุนเวียนอื่น</t>
  </si>
  <si>
    <t xml:space="preserve">   ทุนจดทะเบียน</t>
  </si>
  <si>
    <t xml:space="preserve">   จัดสรรแล้ว - สำรองตามกฎหมาย</t>
  </si>
  <si>
    <t>รายได้จากการรับเหมาก่อสร้าง</t>
  </si>
  <si>
    <t>รายได้จากการขายวัสดุก่อสร้าง</t>
  </si>
  <si>
    <t xml:space="preserve">   ดอกเบี้ยรับ</t>
  </si>
  <si>
    <t xml:space="preserve">   และหนี้สินดำเนินงาน</t>
  </si>
  <si>
    <t>หนี้สินดำเนินงานเพิ่มขึ้น (ลดลง)</t>
  </si>
  <si>
    <t>รายการที่มิใช่เงินสด</t>
  </si>
  <si>
    <t>สินทรัพย์</t>
  </si>
  <si>
    <t>หนี้สินและส่วนของผู้ถือหุ้น</t>
  </si>
  <si>
    <t xml:space="preserve">   สินทรัพย์หมุนเวียนอื่น</t>
  </si>
  <si>
    <t xml:space="preserve">   สินทรัพย์ไม่หมุนเวียนอื่น</t>
  </si>
  <si>
    <t xml:space="preserve">   หนี้สินหมุนเวียนอื่น</t>
  </si>
  <si>
    <t xml:space="preserve">   ค่าใช้จ่ายดอกเบี้ย</t>
  </si>
  <si>
    <t xml:space="preserve">   จ่ายภาษีเงินได้</t>
  </si>
  <si>
    <t xml:space="preserve">สินทรัพย์ดำเนินงาน (เพิ่มขึ้น) ลดลง </t>
  </si>
  <si>
    <t>ส่วนเกินมูลค่าหุ้นสามัญ</t>
  </si>
  <si>
    <t>ค่าใช้จ่ายในการบริหาร</t>
  </si>
  <si>
    <t xml:space="preserve">   ค่าเสื่อมราคาและค่าตัดจำหน่าย</t>
  </si>
  <si>
    <t>เงินสดและรายการเทียบเท่าเงินสดปลายงวด</t>
  </si>
  <si>
    <t>เงินสดและรายการเทียบเท่าเงินสดต้นงวด</t>
  </si>
  <si>
    <t>หุ้นสามัญ</t>
  </si>
  <si>
    <t>ส่วนเกินมูลค่า</t>
  </si>
  <si>
    <t>ในหลักทรัพย์เผื่อขาย</t>
  </si>
  <si>
    <t xml:space="preserve">สินทรัพย์ไม่มีตัวตนเพิ่มขึ้น </t>
  </si>
  <si>
    <t xml:space="preserve">   รายได้ที่ยังไม่ได้เรียกชำระ</t>
  </si>
  <si>
    <t>เงินฝากธนาคารที่มีภาระค้ำประกัน</t>
  </si>
  <si>
    <t>งบแสดงฐานะการเงิน</t>
  </si>
  <si>
    <t>อสังหาริมทรัพย์เพื่อการลงทุน</t>
  </si>
  <si>
    <t>งบแสดงฐานะการเงิน (ต่อ)</t>
  </si>
  <si>
    <t>สำรองผลประโยชน์ระยะยาวของพนักงาน</t>
  </si>
  <si>
    <t>องค์ประกอบอื่นของส่วนของผู้ถือหุ้น</t>
  </si>
  <si>
    <t>งบกำไรขาดทุนเบ็ดเสร็จ</t>
  </si>
  <si>
    <t>กำไรขาดทุน:</t>
  </si>
  <si>
    <t xml:space="preserve">   สำรองผลประโยชน์ระยะยาวของพนักงาน</t>
  </si>
  <si>
    <t>ส่วนที่เป็นของผู้ถือหุ้นของบริษัทฯ</t>
  </si>
  <si>
    <t>งบกำไรขาดทุนเบ็ดเสร็จ (ต่อ)</t>
  </si>
  <si>
    <t>ทุนเรือนหุ้นที่ออก</t>
  </si>
  <si>
    <t xml:space="preserve">   จากกิจกรรมดำเนินงาน</t>
  </si>
  <si>
    <t>กำไรขาดทุนเบ็ดเสร็จอื่นสำหรับงวด</t>
  </si>
  <si>
    <t>กำไรขาดทุนเบ็ดเสร็จรวมสำหรับงวด</t>
  </si>
  <si>
    <t>การแบ่งปันกำไรขาดทุนเบ็ดเสร็จรวม</t>
  </si>
  <si>
    <t xml:space="preserve">ลูกหนี้การค้าและลูกหนี้อื่น </t>
  </si>
  <si>
    <t>ที่ดิน อาคารและอุปกรณ์</t>
  </si>
  <si>
    <t>สินทรัพย์ไม่มีตัวตน</t>
  </si>
  <si>
    <t>เจ้าหนี้การค้าและเจ้าหนี้อื่น</t>
  </si>
  <si>
    <t>และชำระเต็มมูลค่าแล้ว</t>
  </si>
  <si>
    <t xml:space="preserve">   ลูกหนี้การค้าและลูกหนี้อื่น</t>
  </si>
  <si>
    <t xml:space="preserve">   เจ้าหนี้การค้าและเจ้าหนี้อื่น</t>
  </si>
  <si>
    <t xml:space="preserve">   ยังไม่ได้จัดสรร </t>
  </si>
  <si>
    <t>สินทรัพย์ภาษีเงินได้รอการตัดบัญชี</t>
  </si>
  <si>
    <t>(หน่วย: พันบาท ยกเว้นกำไรต่อหุ้นแสดงเป็นบาท)</t>
  </si>
  <si>
    <t>กำไรต่อหุ้นขั้นพื้นฐาน</t>
  </si>
  <si>
    <t>กรรมการ</t>
  </si>
  <si>
    <t xml:space="preserve"> </t>
  </si>
  <si>
    <t>ที่ดิน อาคารและอุปกรณ์เพิ่มขึ้น</t>
  </si>
  <si>
    <t xml:space="preserve">   ทุนที่ออกและชำระเต็มมูลค่าแล้ว</t>
  </si>
  <si>
    <t>ภาษีเงินได้ค้างจ่าย</t>
  </si>
  <si>
    <t>โดยใช้หุ้นเป็นเกณฑ์</t>
  </si>
  <si>
    <t xml:space="preserve">   ลูกหนี้เงินประกันผลงาน</t>
  </si>
  <si>
    <t>หนี้สินไม่หมุนเวียนอื่น</t>
  </si>
  <si>
    <t xml:space="preserve">ต้นทุนในการรับเหมาก่อสร้าง </t>
  </si>
  <si>
    <t>ต้นทุนขายวัสดุก่อสร้าง</t>
  </si>
  <si>
    <t>ต้นทุนในการรับเหมาก่อสร้าง</t>
  </si>
  <si>
    <t xml:space="preserve">   หนี้สินไม่หมุนเวียนอื่น</t>
  </si>
  <si>
    <t>ส่วนของเงินกู้ยืมระยะยาวจากสถาบันการเงินที่ถึงกำหนด</t>
  </si>
  <si>
    <t>ประมาณการหนี้สินระยะสั้น</t>
  </si>
  <si>
    <t xml:space="preserve">   เงินรับล่วงหน้าจากผู้ว่าจ้าง</t>
  </si>
  <si>
    <t>รายได้อื่น</t>
  </si>
  <si>
    <t>องค์ประกอบอื่นของ</t>
  </si>
  <si>
    <t xml:space="preserve">งบกำไรขาดทุนเบ็ดเสร็จ </t>
  </si>
  <si>
    <t xml:space="preserve">   โอนกลับรายการค่าเผื่อหนี้สงสัยจะสูญ</t>
  </si>
  <si>
    <t>ส่วนทุนจากการจ่าย</t>
  </si>
  <si>
    <t>เงินลงทุนในบริษัทย่อย</t>
  </si>
  <si>
    <t xml:space="preserve">    ชำระภายในหนึ่งปี</t>
  </si>
  <si>
    <t>สำรองเผื่อผลขาดทุนของโครงการก่อสร้าง</t>
  </si>
  <si>
    <t xml:space="preserve">   ส่วนที่ถึงกำหนดชำระภายในหนึ่งปี</t>
  </si>
  <si>
    <t>เงินกู้ยืมระยะยาวจากสถาบันการเงิน - สุทธิจาก</t>
  </si>
  <si>
    <t>ส่วนของผู้มีส่วนได้เสียที่ไม่มีอำนาจควบคุมของบริษัทย่อย</t>
  </si>
  <si>
    <t>กำไรขาดทุนเบ็ดเสร็จอื่น:</t>
  </si>
  <si>
    <t>รายการที่จะถูกบันทึกในส่วนของกำไรหรือขาดทุนในภายหลัง</t>
  </si>
  <si>
    <t>ผลต่างของอัตราแลกเปลี่ยนจากการแปลงค่างบการเงิน</t>
  </si>
  <si>
    <t xml:space="preserve">   ที่เป็นเงินตราต่างประเทศ - สุทธิจากภาษีเงินได้</t>
  </si>
  <si>
    <t>ส่วนที่เป็นของผู้มีส่วนได้เสียที่ไม่มีอำนาจควบคุมของบริษัทย่อย</t>
  </si>
  <si>
    <t>กำไรขาดทุนเบ็ดเสร็จอื่น</t>
  </si>
  <si>
    <t>ผลต่างจากการ</t>
  </si>
  <si>
    <t>แปลงค่างบการเงิน</t>
  </si>
  <si>
    <t>ที่เป็นเงินตราต่างประเทศ</t>
  </si>
  <si>
    <t>องค์ประกอบอื่น</t>
  </si>
  <si>
    <t>ของส่วนของผู้ถือหุ้น</t>
  </si>
  <si>
    <t>ของบริษัทฯ</t>
  </si>
  <si>
    <t>ส่วนของผู้มี</t>
  </si>
  <si>
    <t>ส่วนได้เสียที่</t>
  </si>
  <si>
    <t>ไม่มีอำนาจ</t>
  </si>
  <si>
    <t>ควบคุม</t>
  </si>
  <si>
    <t>ของบริษัทย่อย</t>
  </si>
  <si>
    <t>(ยังไม่ได้ตรวจสอบ แต่สอบทานแล้ว)</t>
  </si>
  <si>
    <t>และชำระ</t>
  </si>
  <si>
    <t>เต็มมูลค่าแล้ว</t>
  </si>
  <si>
    <t xml:space="preserve">   งานระหว่างก่อสร้างและวัสดุรอโอนเข้างาน</t>
  </si>
  <si>
    <t>เงินสดรับจากการจำหน่ายเครื่องจักรและอุปกรณ์</t>
  </si>
  <si>
    <t>กำไรจากการดำเนินงานก่อนการเปลี่ยนแปลงในสินทรัพย์</t>
  </si>
  <si>
    <t>เงินสดสุทธิจาก (ใช้ไปใน) กิจกรรมดำเนินงาน</t>
  </si>
  <si>
    <t xml:space="preserve">   ชำระภายในหนึ่งปี</t>
  </si>
  <si>
    <t>กำไรจากอัตราแลกเปลี่ยน</t>
  </si>
  <si>
    <t>เงินสดและรายการเทียบเท่าเงินสดเพิ่มขึ้น (ลดลง) สุทธิ</t>
  </si>
  <si>
    <t>ชำระคืนเงินกู้ยืมระยะยาวจากสถาบันการเงิน</t>
  </si>
  <si>
    <t xml:space="preserve">   การปรับลดสินค้าคงเหลือเป็นมูลค่าสุทธิที่จะได้รับ (โอนกลับ)</t>
  </si>
  <si>
    <t xml:space="preserve">เงินกู้ยืมระยะยาวจากสถาบันการเงินเพิ่มขึ้น </t>
  </si>
  <si>
    <t>ยอดคงเหลือ ณ วันที่ 1 มกราคม 2562</t>
  </si>
  <si>
    <t>ยอดคงเหลือ ณ วันที่ 30 มิถุนายน 2562</t>
  </si>
  <si>
    <t>3, 4</t>
  </si>
  <si>
    <t>3, 5</t>
  </si>
  <si>
    <t xml:space="preserve">   สำรองเผื่อผลขาดทุนโครงการก่อสร้างเพิ่มขึ้น (ลดลง)</t>
  </si>
  <si>
    <t xml:space="preserve">   ขาดทุน (กำไร) จากการจำหน่ายเครื่องจักรและอุปกรณ์</t>
  </si>
  <si>
    <t>เงินสดจ่ายซื้อเงินลงทุนในบริษัทย่อย</t>
  </si>
  <si>
    <t>กำไรสำหรับงวด</t>
  </si>
  <si>
    <t>ขาดทุนจากอัตราแลกเปลี่ยน</t>
  </si>
  <si>
    <t>เงินสดจาก (ใช้ไปใน) กิจกรรมดำเนินงาน</t>
  </si>
  <si>
    <t>เงินสดสุทธิใช้ไปในกิจกรรมลงทุน</t>
  </si>
  <si>
    <t>สำหรับงวดหกเดือนสิ้นสุดวันที่ 30 มิถุนายน 2563</t>
  </si>
  <si>
    <t>ยอดคงเหลือ ณ วันที่ 1 มกราคม 2563</t>
  </si>
  <si>
    <t>ยอดคงเหลือ ณ วันที่ 30 มิถุนายน 2563</t>
  </si>
  <si>
    <t>สำหรับงวดสามเดือนสิ้นสุดวันที่ 30 มิถุนายน 2563</t>
  </si>
  <si>
    <t>31 ธันวาคม 2562</t>
  </si>
  <si>
    <t>สินทรัพย์ที่เกิดจากสัญญา - รายได้ที่ยังไม่ได้เรียกชำระ</t>
  </si>
  <si>
    <t>ต้นทุนในการทำให้เสร็จสิ้นตามสัญญาที่ทำกับลูกค้า</t>
  </si>
  <si>
    <t>สินค้าคงเหลือและวัสดุรอโอนเข้างาน</t>
  </si>
  <si>
    <t>สินทรัพย์ที่เกิดจากสัญญา - ลูกหนี้เงินประกันผลงาน</t>
  </si>
  <si>
    <t>หมายเหตุประกอบงบการเงินเป็นส่วนหนึ่งของงบการเงินระหว่างกาลนี้</t>
  </si>
  <si>
    <t>3, 9</t>
  </si>
  <si>
    <t>ส่วนของหนี้สินตามสัญญาเช่าที่ถึงกำหนดชำระภายในหนึ่งปี</t>
  </si>
  <si>
    <t>หนี้สินที่เกิดจากสัญญา - เงินรับล่วงหน้าจากผู้ว่าจ้าง</t>
  </si>
  <si>
    <t>หนี้สินตามสัญญาเช่า - สุทธิจากส่วนที่ถึงกำหนด</t>
  </si>
  <si>
    <t>ณ วันที่ 30 มิถุนายน 2563</t>
  </si>
  <si>
    <t>30 มิถุนายน 2563</t>
  </si>
  <si>
    <t>(เดิมชื่อ “บริษัท ไร้ท์ทันเน็ลลิ่ง จำกัด”)</t>
  </si>
  <si>
    <t>บริษัท ไร้ท์ทันเน็ลลิ่ง จำกัด (มหาชน) และบริษัทย่อย</t>
  </si>
  <si>
    <t>กำไรจากกิจกรรมดำเนินงาน</t>
  </si>
  <si>
    <t>ต้นทุนทางการเงิน</t>
  </si>
  <si>
    <t>จ่ายชำระหนี้สินตามสัญญาเช่า</t>
  </si>
  <si>
    <t xml:space="preserve">   ต้นทุนในการทำให้เสร็จสิ้นตามสัญญาที่ทำกับลูกค้า</t>
  </si>
  <si>
    <t xml:space="preserve">   สินทรัพย์สิทธิการใช้เพิ่มขึ้นจากการทำสัญญาเช่า</t>
  </si>
  <si>
    <t>รายการที่จะไม่ถูกบันทึกในส่วนของกำไรหรือขาดทุนในภายหลัง</t>
  </si>
  <si>
    <t xml:space="preserve">กำไรจากการประมาณการตามหลักคณิตศาสตร์ประกันภัย </t>
  </si>
  <si>
    <t xml:space="preserve">   - สุทธิจากภาษีเงินได้</t>
  </si>
  <si>
    <t xml:space="preserve">         (31 ธันวาคม 2562: หุ้นสามัญ 4,000,000 หุ้น</t>
  </si>
  <si>
    <t xml:space="preserve">          มูลค่าหุ้นละ 100 บาท)</t>
  </si>
  <si>
    <t xml:space="preserve">      หุ้นสามัญ 1,100,000,000 หุ้น มูลค่าหุ้นละ 0.50 บาท</t>
  </si>
  <si>
    <t xml:space="preserve">      หุ้นสามัญ 800,000,000 หุ้น มูลค่าหุ้นละ 0.50 บาท</t>
  </si>
  <si>
    <t>กำไรก่อนค่าใช้จ่ายภาษีเงินได้</t>
  </si>
  <si>
    <t>การแบ่งปันกำไร</t>
  </si>
  <si>
    <t>กำไรส่วนที่เป็นของผู้ถือหุ้นของบริษัทฯ</t>
  </si>
  <si>
    <t>หนี้สินที่เกิดจากสัญญา - รายได้ค่าก่อสร้างรับล่วงหน้า</t>
  </si>
  <si>
    <t xml:space="preserve">   รายได้ค่าก่อสร้างรับล่วงหน้า</t>
  </si>
  <si>
    <t>เงินกู้ยืมระยะสั้นจากสถาบันการเงินเพิ่มขึ้น (ลดลง)</t>
  </si>
  <si>
    <t>กำไรก่อนภาษี</t>
  </si>
  <si>
    <t xml:space="preserve">รายการปรับกระทบยอดกำไรก่อนภาษีเป็นเงินสดรับ (จ่าย) </t>
  </si>
  <si>
    <t>เงินสดรับดอกเบี้ย</t>
  </si>
  <si>
    <t>เงินเบิกเกินบัญชีเพิ่มขึ้น (ลดลง)</t>
  </si>
  <si>
    <t>เงินสดจ่ายดอกเบี้ย</t>
  </si>
  <si>
    <t>เงินสดสุทธิจาก (ใช้ไปใน) กิจกรรมจัดหาเงิน</t>
  </si>
  <si>
    <t>ผลต่างจากการแปลงค่างบการเงินเพิ่มขึ้น (ลดลง)</t>
  </si>
  <si>
    <t xml:space="preserve">   โอนที่ดิน อาคารและอุปกรณ์ไปเป็นสินทรัพย์ไม่มีตัวตน</t>
  </si>
  <si>
    <t>ค่าใช้จ่ายภาษีเงินได้</t>
  </si>
  <si>
    <t xml:space="preserve">   ขาดทุน (กำไร) จากอัตราแลกเปลี่ยนที่ยังไม่เกิดขึ้นจริง</t>
  </si>
  <si>
    <t xml:space="preserve">   จ่ายผลประโยชน์ระยะยาวของพนักงาน</t>
  </si>
  <si>
    <t xml:space="preserve">เงินฝากธนาคารที่มีภาระค้ำประกันลดลง (เพิ่มขึ้น) </t>
  </si>
  <si>
    <t>เงินกู้ยืมระยะสั้นจากบุคคลหรือกิจการที่เกี่ยวข้องกัน</t>
  </si>
  <si>
    <t>เงินกู้ยืมระยะสั้นจากบุคคลหรือกิจการที่เกี่ยวข้องกันเพิ่มขึ้น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</si>
</sst>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(* #,##0_);_(* \(#,##0\);_(* &quot;-&quot;_);_(@_)"/>
    <numFmt numFmtId="164" formatCode="_(* #,##0_);_(* \(#,##0\);_(* &quot;-&quot;??_);_(@_)"/>
    <numFmt numFmtId="165" formatCode="_(* #,##0.00_);_(* \(#,##0.00\);_(* &quot;-&quot;_);_(@_)"/>
    <numFmt numFmtId="166" formatCode="_(* #,##0.000_);_(* \(#,##0.000\);_(* &quot;-&quot;_);_(@_)"/>
    <numFmt numFmtId="167" formatCode="#,##0.000_);\(#,##0.000\)"/>
  </numFmts>
  <fonts count="12">
    <font>
      <sz val="10"/>
      <name val="ApFont"/>
    </font>
    <font>
      <sz val="10"/>
      <name val="ApFont"/>
    </font>
    <font>
      <sz val="16"/>
      <name val="Angsana New"/>
      <family val="1"/>
    </font>
    <font>
      <b/>
      <sz val="16"/>
      <name val="Angsana New"/>
      <family val="1"/>
    </font>
    <font>
      <i/>
      <sz val="16"/>
      <name val="Angsana New"/>
      <family val="1"/>
    </font>
    <font>
      <b/>
      <i/>
      <sz val="16"/>
      <name val="Angsana New"/>
      <family val="1"/>
    </font>
    <font>
      <u/>
      <sz val="16"/>
      <name val="Angsana New"/>
      <family val="1"/>
    </font>
    <font>
      <i/>
      <u/>
      <sz val="16"/>
      <name val="Angsana New"/>
      <family val="1"/>
    </font>
    <font>
      <sz val="16"/>
      <color theme="1"/>
      <name val="Angsana New"/>
      <family val="1"/>
    </font>
    <font>
      <b/>
      <sz val="16"/>
      <color theme="1"/>
      <name val="Angsana New"/>
      <family val="1"/>
    </font>
    <font>
      <i/>
      <sz val="16"/>
      <color theme="1"/>
      <name val="Angsana New"/>
      <family val="1"/>
    </font>
    <font>
      <sz val="12"/>
      <name val="EucrosiaUPC"/>
      <family val="1"/>
      <charset val="22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" fontId="1" fillId="0" borderId="0" applyFont="0" applyFill="0" applyBorder="0" applyAlignment="0" applyProtection="0"/>
    <xf numFmtId="40" fontId="1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55">
    <xf numFmtId="0" fontId="0" fillId="0" borderId="0" xfId="0"/>
    <xf numFmtId="0" fontId="3" fillId="0" borderId="0" xfId="0" applyNumberFormat="1" applyFont="1" applyFill="1" applyAlignment="1">
      <alignment vertical="top"/>
    </xf>
    <xf numFmtId="164" fontId="2" fillId="0" borderId="0" xfId="0" applyNumberFormat="1" applyFont="1" applyFill="1" applyAlignment="1">
      <alignment vertical="top"/>
    </xf>
    <xf numFmtId="41" fontId="2" fillId="0" borderId="0" xfId="0" applyNumberFormat="1" applyFont="1" applyFill="1" applyBorder="1" applyAlignment="1">
      <alignment horizontal="right" vertical="top"/>
    </xf>
    <xf numFmtId="0" fontId="2" fillId="0" borderId="0" xfId="0" applyNumberFormat="1" applyFont="1" applyFill="1" applyAlignment="1">
      <alignment vertical="top"/>
    </xf>
    <xf numFmtId="37" fontId="2" fillId="0" borderId="0" xfId="0" applyNumberFormat="1" applyFont="1" applyFill="1" applyAlignment="1">
      <alignment vertical="top"/>
    </xf>
    <xf numFmtId="164" fontId="2" fillId="0" borderId="0" xfId="0" applyNumberFormat="1" applyFont="1" applyFill="1" applyBorder="1" applyAlignment="1">
      <alignment vertical="top"/>
    </xf>
    <xf numFmtId="164" fontId="2" fillId="0" borderId="0" xfId="0" applyNumberFormat="1" applyFont="1" applyFill="1" applyAlignment="1">
      <alignment horizontal="center" vertical="top"/>
    </xf>
    <xf numFmtId="41" fontId="2" fillId="0" borderId="2" xfId="0" applyNumberFormat="1" applyFont="1" applyFill="1" applyBorder="1" applyAlignment="1">
      <alignment horizontal="right" vertical="top"/>
    </xf>
    <xf numFmtId="37" fontId="2" fillId="0" borderId="0" xfId="0" applyNumberFormat="1" applyFont="1" applyFill="1" applyAlignment="1">
      <alignment horizontal="centerContinuous" vertical="top"/>
    </xf>
    <xf numFmtId="37" fontId="4" fillId="0" borderId="0" xfId="0" applyNumberFormat="1" applyFont="1" applyFill="1" applyAlignment="1">
      <alignment horizontal="centerContinuous" vertical="top"/>
    </xf>
    <xf numFmtId="38" fontId="2" fillId="0" borderId="0" xfId="0" applyNumberFormat="1" applyFont="1" applyFill="1" applyAlignment="1">
      <alignment horizontal="centerContinuous" vertical="top"/>
    </xf>
    <xf numFmtId="37" fontId="3" fillId="0" borderId="0" xfId="0" applyNumberFormat="1" applyFont="1" applyFill="1" applyAlignment="1">
      <alignment vertical="top"/>
    </xf>
    <xf numFmtId="37" fontId="5" fillId="0" borderId="0" xfId="0" applyNumberFormat="1" applyFont="1" applyFill="1" applyAlignment="1">
      <alignment horizontal="center" vertical="top"/>
    </xf>
    <xf numFmtId="37" fontId="3" fillId="0" borderId="0" xfId="0" applyNumberFormat="1" applyFont="1" applyFill="1" applyBorder="1" applyAlignment="1">
      <alignment horizontal="center" vertical="top"/>
    </xf>
    <xf numFmtId="37" fontId="6" fillId="0" borderId="0" xfId="0" applyNumberFormat="1" applyFont="1" applyFill="1" applyAlignment="1">
      <alignment horizontal="center" vertical="top"/>
    </xf>
    <xf numFmtId="0" fontId="6" fillId="0" borderId="0" xfId="0" applyNumberFormat="1" applyFont="1" applyFill="1" applyAlignment="1">
      <alignment horizontal="center" vertical="top"/>
    </xf>
    <xf numFmtId="0" fontId="6" fillId="0" borderId="0" xfId="0" applyNumberFormat="1" applyFont="1" applyFill="1" applyAlignment="1">
      <alignment horizontal="right" vertical="top"/>
    </xf>
    <xf numFmtId="0" fontId="2" fillId="0" borderId="0" xfId="0" applyNumberFormat="1" applyFont="1" applyFill="1" applyAlignment="1">
      <alignment horizontal="center" vertical="top"/>
    </xf>
    <xf numFmtId="37" fontId="4" fillId="0" borderId="0" xfId="0" applyNumberFormat="1" applyFont="1" applyFill="1" applyAlignment="1">
      <alignment horizontal="center" vertical="top"/>
    </xf>
    <xf numFmtId="38" fontId="2" fillId="0" borderId="0" xfId="0" applyNumberFormat="1" applyFont="1" applyFill="1" applyAlignment="1">
      <alignment vertical="top"/>
    </xf>
    <xf numFmtId="0" fontId="2" fillId="0" borderId="0" xfId="0" applyFont="1" applyFill="1" applyAlignment="1">
      <alignment vertical="top"/>
    </xf>
    <xf numFmtId="38" fontId="2" fillId="0" borderId="0" xfId="0" applyNumberFormat="1" applyFont="1" applyFill="1" applyBorder="1" applyAlignment="1">
      <alignment vertical="top"/>
    </xf>
    <xf numFmtId="37" fontId="2" fillId="0" borderId="0" xfId="0" applyNumberFormat="1" applyFont="1" applyFill="1" applyBorder="1" applyAlignment="1">
      <alignment vertical="top"/>
    </xf>
    <xf numFmtId="37" fontId="7" fillId="0" borderId="0" xfId="0" applyNumberFormat="1" applyFont="1" applyFill="1" applyAlignment="1">
      <alignment horizontal="center" vertical="top"/>
    </xf>
    <xf numFmtId="41" fontId="2" fillId="0" borderId="0" xfId="0" applyNumberFormat="1" applyFont="1" applyFill="1" applyBorder="1" applyAlignment="1">
      <alignment horizontal="center" vertical="top"/>
    </xf>
    <xf numFmtId="41" fontId="2" fillId="0" borderId="1" xfId="0" applyNumberFormat="1" applyFont="1" applyFill="1" applyBorder="1" applyAlignment="1">
      <alignment horizontal="center" vertical="top"/>
    </xf>
    <xf numFmtId="41" fontId="2" fillId="0" borderId="0" xfId="0" applyNumberFormat="1" applyFont="1" applyFill="1" applyAlignment="1">
      <alignment vertical="top"/>
    </xf>
    <xf numFmtId="166" fontId="2" fillId="0" borderId="0" xfId="0" applyNumberFormat="1" applyFont="1" applyFill="1" applyAlignment="1">
      <alignment vertical="top"/>
    </xf>
    <xf numFmtId="37" fontId="2" fillId="0" borderId="0" xfId="0" quotePrefix="1" applyNumberFormat="1" applyFont="1" applyFill="1" applyAlignment="1">
      <alignment horizontal="centerContinuous" vertical="top"/>
    </xf>
    <xf numFmtId="37" fontId="4" fillId="0" borderId="0" xfId="0" applyNumberFormat="1" applyFont="1" applyFill="1" applyBorder="1" applyAlignment="1">
      <alignment horizontal="center" vertical="top"/>
    </xf>
    <xf numFmtId="41" fontId="2" fillId="0" borderId="4" xfId="0" applyNumberFormat="1" applyFont="1" applyFill="1" applyBorder="1" applyAlignment="1">
      <alignment horizontal="center" vertical="top"/>
    </xf>
    <xf numFmtId="41" fontId="2" fillId="0" borderId="2" xfId="0" applyNumberFormat="1" applyFont="1" applyFill="1" applyBorder="1" applyAlignment="1">
      <alignment horizontal="center" vertical="top"/>
    </xf>
    <xf numFmtId="37" fontId="2" fillId="0" borderId="0" xfId="0" applyNumberFormat="1" applyFont="1" applyFill="1" applyBorder="1" applyAlignment="1">
      <alignment horizontal="center" vertical="top"/>
    </xf>
    <xf numFmtId="37" fontId="4" fillId="0" borderId="0" xfId="0" applyNumberFormat="1" applyFont="1" applyFill="1" applyAlignment="1">
      <alignment vertical="top"/>
    </xf>
    <xf numFmtId="41" fontId="2" fillId="0" borderId="0" xfId="1" applyNumberFormat="1" applyFont="1" applyFill="1" applyBorder="1" applyAlignment="1">
      <alignment horizontal="right" vertical="top"/>
    </xf>
    <xf numFmtId="41" fontId="2" fillId="0" borderId="0" xfId="0" applyNumberFormat="1" applyFont="1" applyFill="1" applyAlignment="1">
      <alignment horizontal="center" vertical="top"/>
    </xf>
    <xf numFmtId="41" fontId="4" fillId="0" borderId="0" xfId="0" applyNumberFormat="1" applyFont="1" applyFill="1" applyAlignment="1">
      <alignment horizontal="center" vertical="top"/>
    </xf>
    <xf numFmtId="41" fontId="2" fillId="0" borderId="3" xfId="0" applyNumberFormat="1" applyFont="1" applyFill="1" applyBorder="1" applyAlignment="1">
      <alignment horizontal="center" vertical="top"/>
    </xf>
    <xf numFmtId="164" fontId="3" fillId="0" borderId="0" xfId="0" applyNumberFormat="1" applyFont="1" applyFill="1" applyBorder="1" applyAlignment="1">
      <alignment horizontal="center" vertical="top"/>
    </xf>
    <xf numFmtId="41" fontId="2" fillId="0" borderId="0" xfId="0" applyNumberFormat="1" applyFont="1" applyFill="1" applyBorder="1" applyAlignment="1">
      <alignment vertical="top"/>
    </xf>
    <xf numFmtId="41" fontId="2" fillId="0" borderId="5" xfId="0" applyNumberFormat="1" applyFont="1" applyFill="1" applyBorder="1" applyAlignment="1">
      <alignment vertical="top"/>
    </xf>
    <xf numFmtId="41" fontId="2" fillId="0" borderId="3" xfId="0" applyNumberFormat="1" applyFont="1" applyFill="1" applyBorder="1" applyAlignment="1">
      <alignment vertical="top"/>
    </xf>
    <xf numFmtId="41" fontId="2" fillId="0" borderId="0" xfId="1" applyNumberFormat="1" applyFont="1" applyFill="1" applyBorder="1" applyAlignment="1">
      <alignment horizontal="center" vertical="top"/>
    </xf>
    <xf numFmtId="165" fontId="2" fillId="0" borderId="3" xfId="0" applyNumberFormat="1" applyFont="1" applyFill="1" applyBorder="1" applyAlignment="1">
      <alignment vertical="top"/>
    </xf>
    <xf numFmtId="41" fontId="8" fillId="0" borderId="0" xfId="0" applyNumberFormat="1" applyFont="1" applyFill="1" applyBorder="1" applyAlignment="1">
      <alignment horizontal="right" vertical="top"/>
    </xf>
    <xf numFmtId="37" fontId="10" fillId="0" borderId="0" xfId="0" applyNumberFormat="1" applyFont="1" applyFill="1" applyAlignment="1">
      <alignment horizontal="center" vertical="top"/>
    </xf>
    <xf numFmtId="37" fontId="8" fillId="0" borderId="0" xfId="0" applyNumberFormat="1" applyFont="1" applyFill="1" applyAlignment="1">
      <alignment vertical="top"/>
    </xf>
    <xf numFmtId="49" fontId="4" fillId="0" borderId="0" xfId="0" applyNumberFormat="1" applyFont="1" applyFill="1" applyAlignment="1">
      <alignment horizontal="center" vertical="top"/>
    </xf>
    <xf numFmtId="49" fontId="7" fillId="0" borderId="0" xfId="0" applyNumberFormat="1" applyFont="1" applyFill="1" applyAlignment="1">
      <alignment horizontal="center" vertical="top"/>
    </xf>
    <xf numFmtId="165" fontId="2" fillId="0" borderId="0" xfId="0" applyNumberFormat="1" applyFont="1" applyFill="1" applyBorder="1" applyAlignment="1">
      <alignment vertical="top"/>
    </xf>
    <xf numFmtId="166" fontId="2" fillId="0" borderId="0" xfId="0" applyNumberFormat="1" applyFont="1" applyFill="1" applyBorder="1" applyAlignment="1">
      <alignment vertical="top"/>
    </xf>
    <xf numFmtId="41" fontId="2" fillId="0" borderId="4" xfId="0" applyNumberFormat="1" applyFont="1" applyFill="1" applyBorder="1" applyAlignment="1">
      <alignment vertical="top"/>
    </xf>
    <xf numFmtId="164" fontId="2" fillId="0" borderId="0" xfId="0" applyNumberFormat="1" applyFont="1" applyFill="1" applyBorder="1" applyAlignment="1">
      <alignment horizontal="center" vertical="top"/>
    </xf>
    <xf numFmtId="41" fontId="2" fillId="0" borderId="5" xfId="0" applyNumberFormat="1" applyFont="1" applyFill="1" applyBorder="1" applyAlignment="1">
      <alignment horizontal="center" vertical="top"/>
    </xf>
    <xf numFmtId="164" fontId="2" fillId="0" borderId="0" xfId="0" applyNumberFormat="1" applyFont="1" applyFill="1" applyAlignment="1">
      <alignment horizontal="right" vertical="top"/>
    </xf>
    <xf numFmtId="41" fontId="2" fillId="0" borderId="4" xfId="0" applyNumberFormat="1" applyFont="1" applyFill="1" applyBorder="1" applyAlignment="1">
      <alignment horizontal="right" vertical="top"/>
    </xf>
    <xf numFmtId="164" fontId="2" fillId="0" borderId="1" xfId="0" applyNumberFormat="1" applyFont="1" applyFill="1" applyBorder="1" applyAlignment="1">
      <alignment horizontal="center" vertical="top"/>
    </xf>
    <xf numFmtId="37" fontId="3" fillId="0" borderId="0" xfId="0" applyNumberFormat="1" applyFont="1" applyFill="1" applyAlignment="1">
      <alignment horizontal="left" vertical="top"/>
    </xf>
    <xf numFmtId="38" fontId="2" fillId="0" borderId="0" xfId="0" applyNumberFormat="1" applyFont="1" applyFill="1" applyAlignment="1">
      <alignment horizontal="right" vertical="top"/>
    </xf>
    <xf numFmtId="37" fontId="3" fillId="0" borderId="0" xfId="0" quotePrefix="1" applyNumberFormat="1" applyFont="1" applyFill="1" applyAlignment="1">
      <alignment horizontal="left" vertical="top"/>
    </xf>
    <xf numFmtId="164" fontId="2" fillId="0" borderId="1" xfId="0" applyNumberFormat="1" applyFont="1" applyFill="1" applyBorder="1" applyAlignment="1">
      <alignment horizontal="center" vertical="top"/>
    </xf>
    <xf numFmtId="41" fontId="2" fillId="0" borderId="2" xfId="0" applyNumberFormat="1" applyFont="1" applyFill="1" applyBorder="1" applyAlignment="1">
      <alignment vertical="top"/>
    </xf>
    <xf numFmtId="10" fontId="2" fillId="0" borderId="0" xfId="3" applyNumberFormat="1" applyFont="1" applyFill="1" applyAlignment="1">
      <alignment vertical="top"/>
    </xf>
    <xf numFmtId="41" fontId="2" fillId="0" borderId="7" xfId="0" applyNumberFormat="1" applyFont="1" applyFill="1" applyBorder="1" applyAlignment="1">
      <alignment vertical="top"/>
    </xf>
    <xf numFmtId="41" fontId="2" fillId="0" borderId="8" xfId="0" applyNumberFormat="1" applyFont="1" applyFill="1" applyBorder="1" applyAlignment="1">
      <alignment vertical="top"/>
    </xf>
    <xf numFmtId="37" fontId="3" fillId="0" borderId="0" xfId="0" applyNumberFormat="1" applyFont="1" applyFill="1" applyAlignment="1">
      <alignment horizontal="left" vertical="top"/>
    </xf>
    <xf numFmtId="37" fontId="3" fillId="0" borderId="0" xfId="0" applyNumberFormat="1" applyFont="1" applyAlignment="1">
      <alignment horizontal="left" vertical="top"/>
    </xf>
    <xf numFmtId="37" fontId="4" fillId="0" borderId="0" xfId="0" applyNumberFormat="1" applyFont="1" applyAlignment="1">
      <alignment horizontal="centerContinuous" vertical="top"/>
    </xf>
    <xf numFmtId="38" fontId="2" fillId="0" borderId="0" xfId="0" applyNumberFormat="1" applyFont="1" applyAlignment="1">
      <alignment horizontal="centerContinuous" vertical="top"/>
    </xf>
    <xf numFmtId="37" fontId="2" fillId="0" borderId="0" xfId="0" applyNumberFormat="1" applyFont="1" applyAlignment="1">
      <alignment horizontal="centerContinuous" vertical="top"/>
    </xf>
    <xf numFmtId="37" fontId="2" fillId="0" borderId="0" xfId="0" applyNumberFormat="1" applyFont="1" applyAlignment="1">
      <alignment vertical="top"/>
    </xf>
    <xf numFmtId="37" fontId="2" fillId="0" borderId="0" xfId="0" applyNumberFormat="1" applyFont="1" applyAlignment="1">
      <alignment horizontal="right" vertical="top"/>
    </xf>
    <xf numFmtId="37" fontId="2" fillId="0" borderId="0" xfId="0" applyNumberFormat="1" applyFont="1" applyAlignment="1">
      <alignment horizontal="right" vertical="top"/>
    </xf>
    <xf numFmtId="37" fontId="3" fillId="0" borderId="0" xfId="0" applyNumberFormat="1" applyFont="1" applyAlignment="1">
      <alignment vertical="top"/>
    </xf>
    <xf numFmtId="37" fontId="5" fillId="0" borderId="0" xfId="0" applyNumberFormat="1" applyFont="1" applyAlignment="1">
      <alignment horizontal="center" vertical="top"/>
    </xf>
    <xf numFmtId="37" fontId="3" fillId="0" borderId="0" xfId="0" applyNumberFormat="1" applyFont="1" applyAlignment="1">
      <alignment horizontal="center" vertical="top"/>
    </xf>
    <xf numFmtId="37" fontId="6" fillId="0" borderId="0" xfId="0" applyNumberFormat="1" applyFont="1" applyAlignment="1">
      <alignment horizontal="center" vertical="top"/>
    </xf>
    <xf numFmtId="0" fontId="6" fillId="0" borderId="0" xfId="0" quotePrefix="1" applyFont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right"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/>
    </xf>
    <xf numFmtId="37" fontId="9" fillId="0" borderId="0" xfId="0" applyNumberFormat="1" applyFont="1" applyAlignment="1">
      <alignment horizontal="left" vertical="top"/>
    </xf>
    <xf numFmtId="37" fontId="10" fillId="0" borderId="0" xfId="0" applyNumberFormat="1" applyFont="1" applyAlignment="1">
      <alignment horizontal="center" vertical="top"/>
    </xf>
    <xf numFmtId="41" fontId="8" fillId="0" borderId="0" xfId="0" applyNumberFormat="1" applyFont="1" applyAlignment="1">
      <alignment vertical="top"/>
    </xf>
    <xf numFmtId="37" fontId="8" fillId="0" borderId="0" xfId="0" applyNumberFormat="1" applyFont="1" applyAlignment="1">
      <alignment vertical="top"/>
    </xf>
    <xf numFmtId="37" fontId="9" fillId="0" borderId="0" xfId="0" applyNumberFormat="1" applyFont="1" applyAlignment="1">
      <alignment vertical="top"/>
    </xf>
    <xf numFmtId="37" fontId="8" fillId="0" borderId="0" xfId="0" quotePrefix="1" applyNumberFormat="1" applyFont="1" applyAlignment="1">
      <alignment horizontal="left" vertical="top"/>
    </xf>
    <xf numFmtId="41" fontId="8" fillId="0" borderId="0" xfId="0" applyNumberFormat="1" applyFont="1" applyAlignment="1">
      <alignment horizontal="right" vertical="top"/>
    </xf>
    <xf numFmtId="37" fontId="8" fillId="0" borderId="0" xfId="0" applyNumberFormat="1" applyFont="1" applyAlignment="1">
      <alignment horizontal="left" vertical="top"/>
    </xf>
    <xf numFmtId="41" fontId="8" fillId="0" borderId="2" xfId="0" applyNumberFormat="1" applyFont="1" applyBorder="1" applyAlignment="1">
      <alignment horizontal="right" vertical="top"/>
    </xf>
    <xf numFmtId="41" fontId="8" fillId="0" borderId="3" xfId="0" applyNumberFormat="1" applyFont="1" applyBorder="1" applyAlignment="1">
      <alignment horizontal="right" vertical="top"/>
    </xf>
    <xf numFmtId="37" fontId="4" fillId="0" borderId="0" xfId="0" applyNumberFormat="1" applyFont="1" applyAlignment="1">
      <alignment horizontal="center" vertical="top"/>
    </xf>
    <xf numFmtId="38" fontId="2" fillId="0" borderId="0" xfId="0" applyNumberFormat="1" applyFont="1" applyAlignment="1">
      <alignment vertical="top"/>
    </xf>
    <xf numFmtId="0" fontId="8" fillId="0" borderId="0" xfId="0" applyFont="1" applyAlignment="1">
      <alignment vertical="top"/>
    </xf>
    <xf numFmtId="0" fontId="2" fillId="0" borderId="0" xfId="0" applyFont="1" applyAlignment="1">
      <alignment vertical="top"/>
    </xf>
    <xf numFmtId="41" fontId="8" fillId="0" borderId="1" xfId="0" applyNumberFormat="1" applyFont="1" applyBorder="1" applyAlignment="1">
      <alignment vertical="top"/>
    </xf>
    <xf numFmtId="41" fontId="8" fillId="0" borderId="1" xfId="0" applyNumberFormat="1" applyFont="1" applyBorder="1" applyAlignment="1">
      <alignment horizontal="right" vertical="top"/>
    </xf>
    <xf numFmtId="41" fontId="8" fillId="0" borderId="0" xfId="0" applyNumberFormat="1" applyFont="1" applyAlignment="1">
      <alignment horizontal="center" vertical="top"/>
    </xf>
    <xf numFmtId="41" fontId="8" fillId="0" borderId="3" xfId="1" applyNumberFormat="1" applyFont="1" applyBorder="1" applyAlignment="1">
      <alignment horizontal="right" vertical="top"/>
    </xf>
    <xf numFmtId="41" fontId="8" fillId="0" borderId="0" xfId="1" applyNumberFormat="1" applyFont="1" applyAlignment="1">
      <alignment horizontal="right" vertical="top"/>
    </xf>
    <xf numFmtId="41" fontId="8" fillId="0" borderId="4" xfId="0" applyNumberFormat="1" applyFont="1" applyBorder="1" applyAlignment="1">
      <alignment horizontal="right" vertical="top"/>
    </xf>
    <xf numFmtId="41" fontId="8" fillId="0" borderId="4" xfId="1" applyNumberFormat="1" applyFont="1" applyBorder="1" applyAlignment="1">
      <alignment horizontal="right" vertical="top"/>
    </xf>
    <xf numFmtId="41" fontId="8" fillId="0" borderId="5" xfId="0" applyNumberFormat="1" applyFont="1" applyBorder="1" applyAlignment="1">
      <alignment horizontal="right" vertical="top"/>
    </xf>
    <xf numFmtId="41" fontId="8" fillId="0" borderId="5" xfId="1" applyNumberFormat="1" applyFont="1" applyBorder="1" applyAlignment="1">
      <alignment horizontal="right" vertical="top"/>
    </xf>
    <xf numFmtId="167" fontId="2" fillId="0" borderId="0" xfId="0" applyNumberFormat="1" applyFont="1" applyAlignment="1">
      <alignment vertical="top"/>
    </xf>
    <xf numFmtId="37" fontId="8" fillId="0" borderId="6" xfId="0" applyNumberFormat="1" applyFont="1" applyBorder="1" applyAlignment="1">
      <alignment vertical="top"/>
    </xf>
    <xf numFmtId="0" fontId="3" fillId="0" borderId="0" xfId="0" quotePrefix="1" applyNumberFormat="1" applyFont="1" applyFill="1" applyAlignment="1">
      <alignment horizontal="left" vertical="top"/>
    </xf>
    <xf numFmtId="37" fontId="3" fillId="0" borderId="0" xfId="0" applyNumberFormat="1" applyFont="1" applyFill="1" applyAlignment="1">
      <alignment vertical="top"/>
    </xf>
    <xf numFmtId="37" fontId="2" fillId="0" borderId="0" xfId="0" applyNumberFormat="1" applyFont="1" applyFill="1" applyAlignment="1">
      <alignment vertical="top"/>
    </xf>
    <xf numFmtId="37" fontId="3" fillId="0" borderId="0" xfId="0" applyNumberFormat="1" applyFont="1" applyFill="1" applyAlignment="1">
      <alignment vertical="top"/>
    </xf>
    <xf numFmtId="0" fontId="2" fillId="0" borderId="0" xfId="4" applyFont="1" applyFill="1" applyAlignment="1">
      <alignment vertical="top"/>
    </xf>
    <xf numFmtId="37" fontId="2" fillId="0" borderId="0" xfId="0" applyNumberFormat="1" applyFont="1" applyFill="1" applyAlignment="1">
      <alignment vertical="top"/>
    </xf>
    <xf numFmtId="37" fontId="4" fillId="0" borderId="0" xfId="0" applyNumberFormat="1" applyFont="1" applyFill="1" applyAlignment="1">
      <alignment horizontal="center" vertical="top"/>
    </xf>
    <xf numFmtId="41" fontId="2" fillId="0" borderId="0" xfId="0" applyNumberFormat="1" applyFont="1" applyFill="1" applyBorder="1" applyAlignment="1">
      <alignment horizontal="center" vertical="top"/>
    </xf>
    <xf numFmtId="37" fontId="2" fillId="2" borderId="0" xfId="0" applyNumberFormat="1" applyFont="1" applyFill="1" applyAlignment="1">
      <alignment vertical="top"/>
    </xf>
    <xf numFmtId="37" fontId="2" fillId="2" borderId="0" xfId="0" applyNumberFormat="1" applyFont="1" applyFill="1" applyAlignment="1">
      <alignment vertical="top"/>
    </xf>
    <xf numFmtId="164" fontId="2" fillId="0" borderId="0" xfId="0" applyNumberFormat="1" applyFont="1" applyFill="1" applyAlignment="1">
      <alignment vertical="top"/>
    </xf>
    <xf numFmtId="0" fontId="2" fillId="0" borderId="0" xfId="0" applyNumberFormat="1" applyFont="1" applyFill="1" applyAlignment="1">
      <alignment vertical="top"/>
    </xf>
    <xf numFmtId="37" fontId="2" fillId="0" borderId="0" xfId="0" applyNumberFormat="1" applyFont="1" applyFill="1" applyAlignment="1">
      <alignment vertical="top"/>
    </xf>
    <xf numFmtId="41" fontId="2" fillId="0" borderId="0" xfId="0" applyNumberFormat="1" applyFont="1" applyFill="1" applyBorder="1" applyAlignment="1">
      <alignment horizontal="center" vertical="top"/>
    </xf>
    <xf numFmtId="41" fontId="2" fillId="0" borderId="0" xfId="0" applyNumberFormat="1" applyFont="1" applyFill="1" applyBorder="1" applyAlignment="1">
      <alignment vertical="top"/>
    </xf>
    <xf numFmtId="41" fontId="2" fillId="0" borderId="7" xfId="0" applyNumberFormat="1" applyFont="1" applyFill="1" applyBorder="1" applyAlignment="1">
      <alignment vertical="top"/>
    </xf>
    <xf numFmtId="41" fontId="2" fillId="0" borderId="8" xfId="0" applyNumberFormat="1" applyFont="1" applyFill="1" applyBorder="1" applyAlignment="1">
      <alignment vertical="top"/>
    </xf>
    <xf numFmtId="41" fontId="4" fillId="0" borderId="0" xfId="0" applyNumberFormat="1" applyFont="1" applyFill="1" applyBorder="1" applyAlignment="1">
      <alignment horizontal="center" vertical="top"/>
    </xf>
    <xf numFmtId="37" fontId="2" fillId="0" borderId="0" xfId="0" applyNumberFormat="1" applyFont="1" applyFill="1" applyAlignment="1">
      <alignment vertical="top"/>
    </xf>
    <xf numFmtId="41" fontId="2" fillId="0" borderId="0" xfId="0" applyNumberFormat="1" applyFont="1" applyFill="1" applyBorder="1" applyAlignment="1">
      <alignment horizontal="center" vertical="top"/>
    </xf>
    <xf numFmtId="37" fontId="4" fillId="0" borderId="0" xfId="0" applyNumberFormat="1" applyFont="1" applyFill="1" applyBorder="1" applyAlignment="1">
      <alignment vertical="top"/>
    </xf>
    <xf numFmtId="49" fontId="8" fillId="0" borderId="0" xfId="0" applyNumberFormat="1" applyFont="1" applyFill="1" applyAlignment="1">
      <alignment vertical="top"/>
    </xf>
    <xf numFmtId="41" fontId="8" fillId="0" borderId="0" xfId="0" applyNumberFormat="1" applyFont="1" applyBorder="1" applyAlignment="1">
      <alignment horizontal="right" vertical="top"/>
    </xf>
    <xf numFmtId="41" fontId="8" fillId="0" borderId="0" xfId="1" applyNumberFormat="1" applyFont="1" applyBorder="1" applyAlignment="1">
      <alignment horizontal="right" vertical="top"/>
    </xf>
    <xf numFmtId="0" fontId="2" fillId="2" borderId="0" xfId="0" applyNumberFormat="1" applyFont="1" applyFill="1" applyAlignment="1">
      <alignment horizontal="left" vertical="top"/>
    </xf>
    <xf numFmtId="41" fontId="2" fillId="0" borderId="0" xfId="0" applyNumberFormat="1" applyFont="1" applyFill="1" applyBorder="1" applyAlignment="1">
      <alignment horizontal="center" vertical="top"/>
    </xf>
    <xf numFmtId="41" fontId="2" fillId="0" borderId="1" xfId="0" applyNumberFormat="1" applyFont="1" applyFill="1" applyBorder="1" applyAlignment="1">
      <alignment horizontal="center" vertical="top"/>
    </xf>
    <xf numFmtId="41" fontId="2" fillId="0" borderId="0" xfId="0" applyNumberFormat="1" applyFont="1" applyFill="1" applyAlignment="1">
      <alignment vertical="top"/>
    </xf>
    <xf numFmtId="41" fontId="2" fillId="0" borderId="2" xfId="0" applyNumberFormat="1" applyFont="1" applyFill="1" applyBorder="1" applyAlignment="1">
      <alignment horizontal="center" vertical="top"/>
    </xf>
    <xf numFmtId="41" fontId="2" fillId="0" borderId="0" xfId="0" applyNumberFormat="1" applyFont="1" applyFill="1" applyAlignment="1">
      <alignment horizontal="center" vertical="top"/>
    </xf>
    <xf numFmtId="41" fontId="4" fillId="0" borderId="0" xfId="0" applyNumberFormat="1" applyFont="1" applyFill="1" applyAlignment="1">
      <alignment horizontal="center" vertical="top"/>
    </xf>
    <xf numFmtId="41" fontId="2" fillId="0" borderId="3" xfId="0" applyNumberFormat="1" applyFont="1" applyFill="1" applyBorder="1" applyAlignment="1">
      <alignment horizontal="center" vertical="top"/>
    </xf>
    <xf numFmtId="41" fontId="8" fillId="0" borderId="0" xfId="0" applyNumberFormat="1" applyFont="1" applyFill="1" applyAlignment="1">
      <alignment horizontal="right" vertical="top"/>
    </xf>
    <xf numFmtId="41" fontId="8" fillId="0" borderId="0" xfId="0" applyNumberFormat="1" applyFont="1" applyFill="1" applyAlignment="1">
      <alignment vertical="top"/>
    </xf>
    <xf numFmtId="37" fontId="3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/>
    </xf>
    <xf numFmtId="37" fontId="8" fillId="0" borderId="0" xfId="0" applyNumberFormat="1" applyFont="1" applyFill="1" applyBorder="1" applyAlignment="1">
      <alignment vertical="top"/>
    </xf>
    <xf numFmtId="37" fontId="2" fillId="0" borderId="0" xfId="0" applyNumberFormat="1" applyFont="1" applyAlignment="1">
      <alignment horizontal="right" vertical="top"/>
    </xf>
    <xf numFmtId="37" fontId="3" fillId="0" borderId="1" xfId="0" applyNumberFormat="1" applyFont="1" applyBorder="1" applyAlignment="1">
      <alignment horizontal="center" vertical="top"/>
    </xf>
    <xf numFmtId="37" fontId="2" fillId="0" borderId="0" xfId="0" applyNumberFormat="1" applyFont="1" applyFill="1" applyBorder="1" applyAlignment="1">
      <alignment horizontal="center" vertical="top"/>
    </xf>
    <xf numFmtId="37" fontId="3" fillId="0" borderId="1" xfId="0" applyNumberFormat="1" applyFont="1" applyFill="1" applyBorder="1" applyAlignment="1">
      <alignment horizontal="center" vertical="top"/>
    </xf>
    <xf numFmtId="37" fontId="2" fillId="0" borderId="0" xfId="0" applyNumberFormat="1" applyFont="1" applyFill="1" applyAlignment="1">
      <alignment horizontal="right" vertical="top"/>
    </xf>
    <xf numFmtId="164" fontId="2" fillId="0" borderId="1" xfId="0" applyNumberFormat="1" applyFont="1" applyFill="1" applyBorder="1" applyAlignment="1">
      <alignment horizontal="center" vertical="top"/>
    </xf>
    <xf numFmtId="37" fontId="3" fillId="0" borderId="0" xfId="0" applyNumberFormat="1" applyFont="1" applyFill="1" applyAlignment="1">
      <alignment horizontal="left" vertical="top"/>
    </xf>
    <xf numFmtId="38" fontId="2" fillId="0" borderId="0" xfId="0" applyNumberFormat="1" applyFont="1" applyFill="1" applyAlignment="1">
      <alignment horizontal="right" vertical="top"/>
    </xf>
    <xf numFmtId="164" fontId="3" fillId="0" borderId="1" xfId="0" applyNumberFormat="1" applyFont="1" applyFill="1" applyBorder="1" applyAlignment="1">
      <alignment horizontal="center" vertical="top"/>
    </xf>
    <xf numFmtId="164" fontId="2" fillId="0" borderId="2" xfId="0" applyNumberFormat="1" applyFont="1" applyFill="1" applyBorder="1" applyAlignment="1">
      <alignment horizontal="center" vertical="top"/>
    </xf>
  </cellXfs>
  <cellStyles count="5">
    <cellStyle name="Comma" xfId="1" builtinId="3"/>
    <cellStyle name="Comma 2" xfId="2" xr:uid="{00000000-0005-0000-0000-000001000000}"/>
    <cellStyle name="Normal" xfId="0" builtinId="0"/>
    <cellStyle name="Normal_Sheet1_งบการเงิน MP-RK รวม Y'49" xfId="4" xr:uid="{64C48E88-DA84-46B4-80AD-E715BE764718}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2" name="Line 7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3" name="Line 8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ShapeType="1"/>
        </xdr:cNvSpPr>
      </xdr:nvSpPr>
      <xdr:spPr bwMode="auto">
        <a:xfrm>
          <a:off x="31337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5301" name="Line 7">
          <a:extLst>
            <a:ext uri="{FF2B5EF4-FFF2-40B4-BE49-F238E27FC236}">
              <a16:creationId xmlns:a16="http://schemas.microsoft.com/office/drawing/2014/main" id="{00000000-0008-0000-0100-0000B5140000}"/>
            </a:ext>
          </a:extLst>
        </xdr:cNvPr>
        <xdr:cNvSpPr>
          <a:spLocks noChangeShapeType="1"/>
        </xdr:cNvSpPr>
      </xdr:nvSpPr>
      <xdr:spPr bwMode="auto">
        <a:xfrm>
          <a:off x="3505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5302" name="Line 8">
          <a:extLst>
            <a:ext uri="{FF2B5EF4-FFF2-40B4-BE49-F238E27FC236}">
              <a16:creationId xmlns:a16="http://schemas.microsoft.com/office/drawing/2014/main" id="{00000000-0008-0000-0100-0000B6140000}"/>
            </a:ext>
          </a:extLst>
        </xdr:cNvPr>
        <xdr:cNvSpPr>
          <a:spLocks noChangeShapeType="1"/>
        </xdr:cNvSpPr>
      </xdr:nvSpPr>
      <xdr:spPr bwMode="auto">
        <a:xfrm>
          <a:off x="35052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01"/>
  <sheetViews>
    <sheetView showGridLines="0" tabSelected="1" view="pageBreakPreview" topLeftCell="A67" zoomScaleNormal="100" zoomScaleSheetLayoutView="100" workbookViewId="0">
      <selection activeCell="B74" sqref="B74"/>
    </sheetView>
  </sheetViews>
  <sheetFormatPr defaultColWidth="10.7109375" defaultRowHeight="24" customHeight="1"/>
  <cols>
    <col min="1" max="1" width="49.85546875" style="71" customWidth="1"/>
    <col min="2" max="2" width="7.28515625" style="93" customWidth="1"/>
    <col min="3" max="3" width="1.42578125" style="93" customWidth="1"/>
    <col min="4" max="4" width="15.7109375" style="94" customWidth="1"/>
    <col min="5" max="5" width="1" style="71" customWidth="1"/>
    <col min="6" max="6" width="15.7109375" style="71" customWidth="1"/>
    <col min="7" max="7" width="1" style="71" customWidth="1"/>
    <col min="8" max="8" width="15.7109375" style="94" customWidth="1"/>
    <col min="9" max="9" width="1" style="94" customWidth="1"/>
    <col min="10" max="10" width="15.7109375" style="94" customWidth="1"/>
    <col min="11" max="11" width="16.7109375" style="71" customWidth="1"/>
    <col min="12" max="12" width="23.28515625" style="71" customWidth="1"/>
    <col min="13" max="16384" width="10.7109375" style="71"/>
  </cols>
  <sheetData>
    <row r="1" spans="1:10" ht="24" customHeight="1">
      <c r="A1" s="67" t="s">
        <v>180</v>
      </c>
      <c r="B1" s="68"/>
      <c r="C1" s="68"/>
      <c r="D1" s="69"/>
      <c r="E1" s="70"/>
      <c r="F1" s="70"/>
      <c r="G1" s="70"/>
      <c r="H1" s="69"/>
      <c r="I1" s="69"/>
      <c r="J1" s="69"/>
    </row>
    <row r="2" spans="1:10" ht="24" customHeight="1">
      <c r="A2" s="108" t="s">
        <v>179</v>
      </c>
      <c r="B2" s="68"/>
      <c r="C2" s="68"/>
      <c r="D2" s="69"/>
      <c r="E2" s="70"/>
      <c r="F2" s="70"/>
      <c r="G2" s="70"/>
      <c r="H2" s="69"/>
      <c r="I2" s="69"/>
      <c r="J2" s="69"/>
    </row>
    <row r="3" spans="1:10" ht="24" customHeight="1">
      <c r="A3" s="67" t="s">
        <v>70</v>
      </c>
      <c r="B3" s="68"/>
      <c r="C3" s="68"/>
      <c r="D3" s="69"/>
      <c r="E3" s="70"/>
      <c r="F3" s="70"/>
      <c r="G3" s="70"/>
      <c r="H3" s="69"/>
      <c r="I3" s="69"/>
      <c r="J3" s="69"/>
    </row>
    <row r="4" spans="1:10" ht="24" customHeight="1">
      <c r="A4" s="67" t="s">
        <v>177</v>
      </c>
      <c r="B4" s="72"/>
      <c r="C4" s="72"/>
      <c r="D4" s="72"/>
      <c r="E4" s="72"/>
      <c r="F4" s="72"/>
      <c r="G4" s="72"/>
      <c r="H4" s="72"/>
      <c r="I4" s="72"/>
      <c r="J4" s="72"/>
    </row>
    <row r="5" spans="1:10" ht="24" customHeight="1">
      <c r="A5" s="145" t="s">
        <v>36</v>
      </c>
      <c r="B5" s="145"/>
      <c r="C5" s="145"/>
      <c r="D5" s="145"/>
      <c r="E5" s="145"/>
      <c r="F5" s="145"/>
      <c r="G5" s="145"/>
      <c r="H5" s="145"/>
      <c r="I5" s="145"/>
      <c r="J5" s="145"/>
    </row>
    <row r="6" spans="1:10" s="74" customFormat="1" ht="24" customHeight="1">
      <c r="B6" s="75"/>
      <c r="C6" s="75"/>
      <c r="D6" s="146" t="s">
        <v>0</v>
      </c>
      <c r="E6" s="146"/>
      <c r="F6" s="146"/>
      <c r="G6" s="76"/>
      <c r="H6" s="146" t="s">
        <v>31</v>
      </c>
      <c r="I6" s="146"/>
      <c r="J6" s="146"/>
    </row>
    <row r="7" spans="1:10" ht="24" customHeight="1">
      <c r="B7" s="77" t="s">
        <v>1</v>
      </c>
      <c r="C7" s="77"/>
      <c r="D7" s="78" t="s">
        <v>178</v>
      </c>
      <c r="E7" s="79"/>
      <c r="F7" s="78" t="s">
        <v>167</v>
      </c>
      <c r="G7" s="80"/>
      <c r="H7" s="78" t="s">
        <v>178</v>
      </c>
      <c r="I7" s="79"/>
      <c r="J7" s="78" t="s">
        <v>167</v>
      </c>
    </row>
    <row r="8" spans="1:10" ht="24" customHeight="1">
      <c r="B8" s="77"/>
      <c r="C8" s="77"/>
      <c r="D8" s="81" t="s">
        <v>28</v>
      </c>
      <c r="E8" s="79"/>
      <c r="F8" s="81" t="s">
        <v>29</v>
      </c>
      <c r="G8" s="80"/>
      <c r="H8" s="81" t="s">
        <v>28</v>
      </c>
      <c r="I8" s="79"/>
      <c r="J8" s="81" t="s">
        <v>29</v>
      </c>
    </row>
    <row r="9" spans="1:10" ht="24" customHeight="1">
      <c r="B9" s="77"/>
      <c r="C9" s="77"/>
      <c r="D9" s="81" t="s">
        <v>30</v>
      </c>
      <c r="E9" s="79"/>
      <c r="F9" s="82"/>
      <c r="G9" s="80"/>
      <c r="H9" s="81" t="s">
        <v>30</v>
      </c>
      <c r="I9" s="79"/>
      <c r="J9" s="82"/>
    </row>
    <row r="10" spans="1:10" s="86" customFormat="1" ht="24" customHeight="1">
      <c r="A10" s="83" t="s">
        <v>51</v>
      </c>
      <c r="B10" s="84"/>
      <c r="C10" s="84"/>
      <c r="D10" s="85"/>
      <c r="E10" s="85"/>
      <c r="F10" s="85"/>
      <c r="G10" s="85"/>
      <c r="H10" s="85"/>
      <c r="I10" s="85"/>
      <c r="J10" s="85"/>
    </row>
    <row r="11" spans="1:10" s="86" customFormat="1" ht="24" customHeight="1">
      <c r="A11" s="87" t="s">
        <v>2</v>
      </c>
      <c r="B11" s="84"/>
      <c r="C11" s="84"/>
      <c r="D11" s="85"/>
      <c r="E11" s="85"/>
      <c r="F11" s="85"/>
      <c r="G11" s="85"/>
      <c r="H11" s="85"/>
      <c r="I11" s="85"/>
      <c r="J11" s="85"/>
    </row>
    <row r="12" spans="1:10" s="86" customFormat="1" ht="24" customHeight="1">
      <c r="A12" s="88" t="s">
        <v>38</v>
      </c>
      <c r="B12" s="84"/>
      <c r="C12" s="84"/>
      <c r="D12" s="89">
        <v>39073</v>
      </c>
      <c r="E12" s="89" t="s">
        <v>97</v>
      </c>
      <c r="F12" s="89">
        <v>52159</v>
      </c>
      <c r="G12" s="89" t="s">
        <v>97</v>
      </c>
      <c r="H12" s="89">
        <v>34252</v>
      </c>
      <c r="I12" s="89"/>
      <c r="J12" s="89">
        <v>50363</v>
      </c>
    </row>
    <row r="13" spans="1:10" s="86" customFormat="1" ht="24" customHeight="1">
      <c r="A13" s="90" t="s">
        <v>85</v>
      </c>
      <c r="B13" s="84" t="s">
        <v>154</v>
      </c>
      <c r="C13" s="84"/>
      <c r="D13" s="89">
        <f>597992+600</f>
        <v>598592</v>
      </c>
      <c r="E13" s="89"/>
      <c r="F13" s="89">
        <v>549893</v>
      </c>
      <c r="G13" s="89"/>
      <c r="H13" s="89">
        <f>636539+600</f>
        <v>637139</v>
      </c>
      <c r="I13" s="89"/>
      <c r="J13" s="89">
        <v>576292</v>
      </c>
    </row>
    <row r="14" spans="1:10" s="86" customFormat="1" ht="24" customHeight="1">
      <c r="A14" s="86" t="s">
        <v>168</v>
      </c>
      <c r="B14" s="84" t="s">
        <v>155</v>
      </c>
      <c r="C14" s="84"/>
      <c r="D14" s="89">
        <v>1410642</v>
      </c>
      <c r="E14" s="89"/>
      <c r="F14" s="89">
        <v>1241393</v>
      </c>
      <c r="G14" s="89"/>
      <c r="H14" s="89">
        <v>1381469</v>
      </c>
      <c r="I14" s="89"/>
      <c r="J14" s="89">
        <v>1223998</v>
      </c>
    </row>
    <row r="15" spans="1:10" s="86" customFormat="1" ht="24" customHeight="1">
      <c r="A15" s="86" t="s">
        <v>170</v>
      </c>
      <c r="B15" s="84"/>
      <c r="C15" s="84"/>
      <c r="D15" s="89">
        <v>173576</v>
      </c>
      <c r="E15" s="89"/>
      <c r="F15" s="89">
        <v>184979</v>
      </c>
      <c r="G15" s="89"/>
      <c r="H15" s="89">
        <v>171422</v>
      </c>
      <c r="I15" s="89"/>
      <c r="J15" s="89">
        <v>182454</v>
      </c>
    </row>
    <row r="16" spans="1:10" s="86" customFormat="1" ht="24" customHeight="1">
      <c r="A16" s="90" t="s">
        <v>39</v>
      </c>
      <c r="B16" s="84"/>
      <c r="C16" s="84"/>
      <c r="D16" s="89">
        <f>46795-12534-1+3774</f>
        <v>38034</v>
      </c>
      <c r="E16" s="89"/>
      <c r="F16" s="89">
        <v>36598</v>
      </c>
      <c r="G16" s="89"/>
      <c r="H16" s="89">
        <f>40793-1-12534+3774</f>
        <v>32032</v>
      </c>
      <c r="I16" s="89"/>
      <c r="J16" s="89">
        <v>31715</v>
      </c>
    </row>
    <row r="17" spans="1:10" s="86" customFormat="1" ht="24" customHeight="1">
      <c r="A17" s="87" t="s">
        <v>3</v>
      </c>
      <c r="B17" s="84"/>
      <c r="C17" s="84"/>
      <c r="D17" s="91">
        <f>SUM(D12:D16)</f>
        <v>2259917</v>
      </c>
      <c r="E17" s="89"/>
      <c r="F17" s="91">
        <f>SUM(F12:F16)</f>
        <v>2065022</v>
      </c>
      <c r="G17" s="89"/>
      <c r="H17" s="91">
        <f>SUM(H12:H16)</f>
        <v>2256314</v>
      </c>
      <c r="I17" s="89"/>
      <c r="J17" s="91">
        <f>SUM(J12:J16)</f>
        <v>2064822</v>
      </c>
    </row>
    <row r="18" spans="1:10" s="86" customFormat="1" ht="24" customHeight="1">
      <c r="A18" s="87" t="s">
        <v>16</v>
      </c>
      <c r="B18" s="84"/>
      <c r="C18" s="84"/>
      <c r="D18" s="89"/>
      <c r="E18" s="89"/>
      <c r="F18" s="89"/>
      <c r="G18" s="89"/>
      <c r="H18" s="89"/>
      <c r="I18" s="89"/>
      <c r="J18" s="89"/>
    </row>
    <row r="19" spans="1:10" s="86" customFormat="1" ht="24" customHeight="1">
      <c r="A19" s="90" t="s">
        <v>69</v>
      </c>
      <c r="B19" s="84"/>
      <c r="C19" s="84"/>
      <c r="D19" s="89">
        <v>295038</v>
      </c>
      <c r="E19" s="89"/>
      <c r="F19" s="89">
        <v>297015</v>
      </c>
      <c r="G19" s="89"/>
      <c r="H19" s="89">
        <v>288339</v>
      </c>
      <c r="I19" s="89"/>
      <c r="J19" s="89">
        <v>290317</v>
      </c>
    </row>
    <row r="20" spans="1:10" s="86" customFormat="1" ht="24" customHeight="1">
      <c r="A20" s="90" t="s">
        <v>171</v>
      </c>
      <c r="B20" s="84" t="s">
        <v>155</v>
      </c>
      <c r="C20" s="84"/>
      <c r="D20" s="85">
        <v>306075</v>
      </c>
      <c r="E20" s="89"/>
      <c r="F20" s="85">
        <v>292135</v>
      </c>
      <c r="G20" s="89"/>
      <c r="H20" s="89">
        <v>305643</v>
      </c>
      <c r="I20" s="89"/>
      <c r="J20" s="89">
        <v>291893</v>
      </c>
    </row>
    <row r="21" spans="1:10" s="86" customFormat="1" ht="24" customHeight="1">
      <c r="A21" s="90" t="s">
        <v>116</v>
      </c>
      <c r="B21" s="84"/>
      <c r="C21" s="84"/>
      <c r="D21" s="89">
        <v>0</v>
      </c>
      <c r="E21" s="89"/>
      <c r="F21" s="89">
        <v>0</v>
      </c>
      <c r="G21" s="89"/>
      <c r="H21" s="89">
        <v>5002</v>
      </c>
      <c r="I21" s="89"/>
      <c r="J21" s="89">
        <v>5002</v>
      </c>
    </row>
    <row r="22" spans="1:10" s="86" customFormat="1" ht="24" customHeight="1">
      <c r="A22" s="90" t="s">
        <v>71</v>
      </c>
      <c r="B22" s="84"/>
      <c r="C22" s="90"/>
      <c r="D22" s="89">
        <v>1635</v>
      </c>
      <c r="E22" s="89"/>
      <c r="F22" s="89">
        <v>1668</v>
      </c>
      <c r="G22" s="89"/>
      <c r="H22" s="89">
        <v>1635</v>
      </c>
      <c r="I22" s="89"/>
      <c r="J22" s="89">
        <v>1668</v>
      </c>
    </row>
    <row r="23" spans="1:10" s="86" customFormat="1" ht="24" customHeight="1">
      <c r="A23" s="88" t="s">
        <v>86</v>
      </c>
      <c r="B23" s="84">
        <v>7</v>
      </c>
      <c r="C23" s="84"/>
      <c r="D23" s="140">
        <v>832286</v>
      </c>
      <c r="E23" s="140"/>
      <c r="F23" s="140">
        <v>911215</v>
      </c>
      <c r="G23" s="140"/>
      <c r="H23" s="140">
        <v>831356</v>
      </c>
      <c r="I23" s="89"/>
      <c r="J23" s="89">
        <v>910262</v>
      </c>
    </row>
    <row r="24" spans="1:10" s="86" customFormat="1" ht="24" customHeight="1">
      <c r="A24" s="86" t="s">
        <v>169</v>
      </c>
      <c r="B24" s="84"/>
      <c r="C24" s="84"/>
      <c r="D24" s="140">
        <v>47084</v>
      </c>
      <c r="E24" s="140"/>
      <c r="F24" s="140">
        <v>60803</v>
      </c>
      <c r="G24" s="140"/>
      <c r="H24" s="140">
        <v>47084</v>
      </c>
      <c r="I24" s="89"/>
      <c r="J24" s="89">
        <v>60803</v>
      </c>
    </row>
    <row r="25" spans="1:10" s="86" customFormat="1" ht="24" customHeight="1">
      <c r="A25" s="90" t="s">
        <v>87</v>
      </c>
      <c r="B25" s="84"/>
      <c r="C25" s="84"/>
      <c r="D25" s="89">
        <v>19063</v>
      </c>
      <c r="E25" s="89"/>
      <c r="F25" s="89">
        <v>7041</v>
      </c>
      <c r="G25" s="89"/>
      <c r="H25" s="89">
        <v>19063</v>
      </c>
      <c r="I25" s="89"/>
      <c r="J25" s="89">
        <v>7041</v>
      </c>
    </row>
    <row r="26" spans="1:10" s="86" customFormat="1" ht="24" customHeight="1">
      <c r="A26" s="86" t="s">
        <v>93</v>
      </c>
      <c r="B26" s="84"/>
      <c r="C26" s="84"/>
      <c r="D26" s="85">
        <f>50706+889+2151+3503-5810</f>
        <v>51439</v>
      </c>
      <c r="E26" s="89"/>
      <c r="F26" s="85">
        <v>34536</v>
      </c>
      <c r="G26" s="89"/>
      <c r="H26" s="85">
        <f>50374+889+2151+3503-5810</f>
        <v>51107</v>
      </c>
      <c r="I26" s="89"/>
      <c r="J26" s="85">
        <v>34204</v>
      </c>
    </row>
    <row r="27" spans="1:10" s="86" customFormat="1" ht="24" customHeight="1">
      <c r="A27" s="86" t="s">
        <v>40</v>
      </c>
      <c r="B27" s="84"/>
      <c r="C27" s="84"/>
      <c r="D27" s="85">
        <v>61540</v>
      </c>
      <c r="E27" s="89"/>
      <c r="F27" s="85">
        <v>61108</v>
      </c>
      <c r="G27" s="89"/>
      <c r="H27" s="89">
        <f>59450-1</f>
        <v>59449</v>
      </c>
      <c r="I27" s="89"/>
      <c r="J27" s="89">
        <v>59214</v>
      </c>
    </row>
    <row r="28" spans="1:10" s="86" customFormat="1" ht="24" customHeight="1">
      <c r="A28" s="87" t="s">
        <v>17</v>
      </c>
      <c r="B28" s="84"/>
      <c r="C28" s="84"/>
      <c r="D28" s="91">
        <f>SUM(D19:D27)</f>
        <v>1614160</v>
      </c>
      <c r="E28" s="89"/>
      <c r="F28" s="91">
        <f>SUM(F19:F27)</f>
        <v>1665521</v>
      </c>
      <c r="G28" s="89"/>
      <c r="H28" s="91">
        <f>SUM(H19:H27)</f>
        <v>1608678</v>
      </c>
      <c r="I28" s="89"/>
      <c r="J28" s="91">
        <f>SUM(J19:J27)</f>
        <v>1660404</v>
      </c>
    </row>
    <row r="29" spans="1:10" s="86" customFormat="1" ht="24" customHeight="1" thickBot="1">
      <c r="A29" s="87" t="s">
        <v>4</v>
      </c>
      <c r="B29" s="84"/>
      <c r="C29" s="84"/>
      <c r="D29" s="92">
        <f>SUM(D17,D28)</f>
        <v>3874077</v>
      </c>
      <c r="E29" s="89"/>
      <c r="F29" s="92">
        <f>SUM(F17,F28)</f>
        <v>3730543</v>
      </c>
      <c r="G29" s="89"/>
      <c r="H29" s="92">
        <f>SUM(H17,H28)</f>
        <v>3864992</v>
      </c>
      <c r="I29" s="89"/>
      <c r="J29" s="92">
        <f>SUM(J17,J28)</f>
        <v>3725226</v>
      </c>
    </row>
    <row r="30" spans="1:10" s="86" customFormat="1" ht="24" customHeight="1" thickTop="1">
      <c r="A30" s="87"/>
      <c r="B30" s="84"/>
      <c r="C30" s="84"/>
      <c r="D30" s="89"/>
      <c r="E30" s="89"/>
      <c r="F30" s="89"/>
      <c r="G30" s="89"/>
      <c r="H30" s="89"/>
      <c r="I30" s="89"/>
      <c r="J30" s="89"/>
    </row>
    <row r="31" spans="1:10" ht="24" customHeight="1">
      <c r="A31" s="71" t="s">
        <v>172</v>
      </c>
      <c r="C31" s="94"/>
      <c r="D31" s="71"/>
      <c r="F31" s="94"/>
      <c r="G31" s="94"/>
      <c r="H31" s="71"/>
      <c r="I31" s="71"/>
      <c r="J31" s="71"/>
    </row>
    <row r="32" spans="1:10" ht="24" customHeight="1">
      <c r="A32" s="67" t="s">
        <v>180</v>
      </c>
      <c r="B32" s="72"/>
      <c r="C32" s="72"/>
      <c r="D32" s="72"/>
      <c r="E32" s="72"/>
      <c r="F32" s="72"/>
      <c r="G32" s="72"/>
      <c r="H32" s="72"/>
      <c r="I32" s="72"/>
      <c r="J32" s="72"/>
    </row>
    <row r="33" spans="1:10" ht="24" customHeight="1">
      <c r="A33" s="108" t="s">
        <v>179</v>
      </c>
      <c r="B33" s="73"/>
      <c r="C33" s="73"/>
      <c r="D33" s="73"/>
      <c r="E33" s="73"/>
      <c r="F33" s="73"/>
      <c r="G33" s="73"/>
      <c r="H33" s="73"/>
      <c r="I33" s="73"/>
      <c r="J33" s="73"/>
    </row>
    <row r="34" spans="1:10" ht="24" customHeight="1">
      <c r="A34" s="67" t="s">
        <v>72</v>
      </c>
      <c r="B34" s="72"/>
      <c r="C34" s="72"/>
      <c r="D34" s="72"/>
      <c r="E34" s="72"/>
      <c r="F34" s="72"/>
      <c r="G34" s="72"/>
      <c r="H34" s="72"/>
      <c r="I34" s="72"/>
      <c r="J34" s="72"/>
    </row>
    <row r="35" spans="1:10" ht="24" customHeight="1">
      <c r="A35" s="67" t="s">
        <v>177</v>
      </c>
      <c r="B35" s="72"/>
      <c r="C35" s="72"/>
      <c r="D35" s="72"/>
      <c r="E35" s="72"/>
      <c r="F35" s="72"/>
      <c r="G35" s="72"/>
      <c r="H35" s="72"/>
      <c r="I35" s="72"/>
      <c r="J35" s="72"/>
    </row>
    <row r="36" spans="1:10" ht="24" customHeight="1">
      <c r="A36" s="145" t="s">
        <v>36</v>
      </c>
      <c r="B36" s="145"/>
      <c r="C36" s="145"/>
      <c r="D36" s="145"/>
      <c r="E36" s="145"/>
      <c r="F36" s="145"/>
      <c r="G36" s="145"/>
      <c r="H36" s="145"/>
      <c r="I36" s="145"/>
      <c r="J36" s="145"/>
    </row>
    <row r="37" spans="1:10" s="74" customFormat="1" ht="24" customHeight="1">
      <c r="B37" s="75"/>
      <c r="C37" s="75"/>
      <c r="D37" s="146" t="s">
        <v>0</v>
      </c>
      <c r="E37" s="146"/>
      <c r="F37" s="146"/>
      <c r="G37" s="76"/>
      <c r="H37" s="146" t="s">
        <v>31</v>
      </c>
      <c r="I37" s="146"/>
      <c r="J37" s="146"/>
    </row>
    <row r="38" spans="1:10" ht="24" customHeight="1">
      <c r="B38" s="77" t="s">
        <v>1</v>
      </c>
      <c r="C38" s="77"/>
      <c r="D38" s="78" t="s">
        <v>178</v>
      </c>
      <c r="E38" s="79"/>
      <c r="F38" s="78" t="s">
        <v>167</v>
      </c>
      <c r="G38" s="80"/>
      <c r="H38" s="78" t="s">
        <v>178</v>
      </c>
      <c r="I38" s="79"/>
      <c r="J38" s="78" t="s">
        <v>167</v>
      </c>
    </row>
    <row r="39" spans="1:10" ht="24" customHeight="1">
      <c r="B39" s="77"/>
      <c r="C39" s="77"/>
      <c r="D39" s="81" t="s">
        <v>28</v>
      </c>
      <c r="E39" s="79"/>
      <c r="F39" s="81" t="s">
        <v>29</v>
      </c>
      <c r="G39" s="80"/>
      <c r="H39" s="81" t="s">
        <v>28</v>
      </c>
      <c r="I39" s="79"/>
      <c r="J39" s="81" t="s">
        <v>29</v>
      </c>
    </row>
    <row r="40" spans="1:10" ht="24" customHeight="1">
      <c r="B40" s="77"/>
      <c r="C40" s="77"/>
      <c r="D40" s="81" t="s">
        <v>30</v>
      </c>
      <c r="E40" s="79"/>
      <c r="F40" s="82"/>
      <c r="G40" s="80"/>
      <c r="H40" s="81" t="s">
        <v>30</v>
      </c>
      <c r="I40" s="79"/>
      <c r="J40" s="82"/>
    </row>
    <row r="41" spans="1:10" s="86" customFormat="1" ht="24" customHeight="1">
      <c r="A41" s="87" t="s">
        <v>52</v>
      </c>
      <c r="B41" s="84"/>
      <c r="C41" s="84"/>
      <c r="D41" s="95"/>
      <c r="E41" s="95"/>
      <c r="F41" s="95"/>
      <c r="G41" s="95"/>
      <c r="H41" s="95"/>
      <c r="I41" s="95"/>
      <c r="J41" s="95"/>
    </row>
    <row r="42" spans="1:10" s="86" customFormat="1" ht="24" customHeight="1">
      <c r="A42" s="87" t="s">
        <v>5</v>
      </c>
      <c r="B42" s="84"/>
      <c r="C42" s="84"/>
      <c r="D42" s="85"/>
      <c r="E42" s="85"/>
      <c r="F42" s="85"/>
      <c r="G42" s="85"/>
      <c r="H42" s="85"/>
      <c r="I42" s="85"/>
      <c r="J42" s="85"/>
    </row>
    <row r="43" spans="1:10" s="86" customFormat="1" ht="24" customHeight="1">
      <c r="A43" s="86" t="s">
        <v>41</v>
      </c>
      <c r="B43" s="84">
        <v>8</v>
      </c>
      <c r="C43" s="84"/>
      <c r="D43" s="89">
        <f>973038+2411</f>
        <v>975449</v>
      </c>
      <c r="E43" s="89"/>
      <c r="F43" s="89">
        <v>1008090</v>
      </c>
      <c r="G43" s="89"/>
      <c r="H43" s="89">
        <f>965038+2411</f>
        <v>967449</v>
      </c>
      <c r="I43" s="89"/>
      <c r="J43" s="89">
        <v>1000090</v>
      </c>
    </row>
    <row r="44" spans="1:10" s="86" customFormat="1" ht="24" customHeight="1">
      <c r="A44" s="86" t="s">
        <v>88</v>
      </c>
      <c r="B44" s="84" t="s">
        <v>173</v>
      </c>
      <c r="C44" s="84"/>
      <c r="D44" s="89">
        <f>885801-2519-3435+1</f>
        <v>879848</v>
      </c>
      <c r="E44" s="89"/>
      <c r="F44" s="89">
        <v>744397</v>
      </c>
      <c r="G44" s="89"/>
      <c r="H44" s="85">
        <f>884241-2519-3435</f>
        <v>878287</v>
      </c>
      <c r="I44" s="85"/>
      <c r="J44" s="85">
        <v>745104</v>
      </c>
    </row>
    <row r="45" spans="1:10" s="47" customFormat="1" ht="24" customHeight="1">
      <c r="A45" s="21" t="s">
        <v>174</v>
      </c>
      <c r="B45" s="46">
        <v>10</v>
      </c>
      <c r="C45" s="46"/>
      <c r="D45" s="141">
        <f>213074-113248</f>
        <v>99826</v>
      </c>
      <c r="E45" s="140"/>
      <c r="F45" s="141">
        <v>116926</v>
      </c>
      <c r="G45" s="140"/>
      <c r="H45" s="141">
        <f>213074-113248</f>
        <v>99826</v>
      </c>
      <c r="I45" s="140"/>
      <c r="J45" s="141">
        <v>116926</v>
      </c>
    </row>
    <row r="46" spans="1:10" s="86" customFormat="1" ht="24" customHeight="1">
      <c r="A46" s="90" t="s">
        <v>108</v>
      </c>
      <c r="B46" s="84"/>
      <c r="C46" s="84"/>
      <c r="D46" s="85"/>
      <c r="E46" s="89"/>
      <c r="F46" s="85"/>
      <c r="G46" s="89"/>
      <c r="H46" s="85"/>
      <c r="I46" s="89"/>
      <c r="J46" s="85"/>
    </row>
    <row r="47" spans="1:10" s="86" customFormat="1" ht="24" customHeight="1">
      <c r="A47" s="90" t="s">
        <v>117</v>
      </c>
      <c r="B47" s="84">
        <v>11</v>
      </c>
      <c r="C47" s="84"/>
      <c r="D47" s="85">
        <v>133673</v>
      </c>
      <c r="E47" s="89"/>
      <c r="F47" s="85">
        <v>192179</v>
      </c>
      <c r="G47" s="89"/>
      <c r="H47" s="85">
        <v>133673</v>
      </c>
      <c r="I47" s="89"/>
      <c r="J47" s="85">
        <v>192179</v>
      </c>
    </row>
    <row r="48" spans="1:10" s="86" customFormat="1" ht="24" customHeight="1">
      <c r="A48" s="90" t="s">
        <v>211</v>
      </c>
      <c r="B48" s="84">
        <v>3</v>
      </c>
      <c r="C48" s="84"/>
      <c r="D48" s="85">
        <v>15395</v>
      </c>
      <c r="E48" s="89"/>
      <c r="F48" s="85">
        <v>0</v>
      </c>
      <c r="G48" s="89"/>
      <c r="H48" s="85">
        <v>32435</v>
      </c>
      <c r="I48" s="89"/>
      <c r="J48" s="85">
        <v>17040</v>
      </c>
    </row>
    <row r="49" spans="1:14" s="86" customFormat="1" ht="24" customHeight="1">
      <c r="A49" s="90" t="s">
        <v>175</v>
      </c>
      <c r="B49" s="84">
        <v>3</v>
      </c>
      <c r="C49" s="84"/>
      <c r="D49" s="85">
        <v>737286</v>
      </c>
      <c r="E49" s="89"/>
      <c r="F49" s="85">
        <v>811445</v>
      </c>
      <c r="G49" s="89"/>
      <c r="H49" s="85">
        <v>729529</v>
      </c>
      <c r="I49" s="89"/>
      <c r="J49" s="85">
        <v>802731</v>
      </c>
    </row>
    <row r="50" spans="1:14" s="86" customFormat="1" ht="24" customHeight="1">
      <c r="A50" s="86" t="s">
        <v>196</v>
      </c>
      <c r="B50" s="84"/>
      <c r="C50" s="84"/>
      <c r="D50" s="141">
        <v>4071</v>
      </c>
      <c r="E50" s="140"/>
      <c r="F50" s="141">
        <v>0</v>
      </c>
      <c r="G50" s="140"/>
      <c r="H50" s="141">
        <v>4071</v>
      </c>
      <c r="I50" s="140"/>
      <c r="J50" s="141">
        <v>0</v>
      </c>
    </row>
    <row r="51" spans="1:14" s="86" customFormat="1" ht="24" customHeight="1">
      <c r="A51" s="90" t="s">
        <v>100</v>
      </c>
      <c r="B51" s="84"/>
      <c r="C51" s="84"/>
      <c r="D51" s="85">
        <f>5663+37171-8657-2036</f>
        <v>32141</v>
      </c>
      <c r="E51" s="89"/>
      <c r="F51" s="85">
        <v>2159</v>
      </c>
      <c r="G51" s="89"/>
      <c r="H51" s="85">
        <f>3699+37171-8657-2036</f>
        <v>30177</v>
      </c>
      <c r="I51" s="89"/>
      <c r="J51" s="85">
        <v>1663</v>
      </c>
    </row>
    <row r="52" spans="1:14" s="86" customFormat="1" ht="24" customHeight="1">
      <c r="A52" s="86" t="s">
        <v>109</v>
      </c>
      <c r="B52" s="84"/>
      <c r="C52" s="84"/>
      <c r="D52" s="85">
        <v>10964</v>
      </c>
      <c r="E52" s="89"/>
      <c r="F52" s="85">
        <v>10996</v>
      </c>
      <c r="G52" s="89"/>
      <c r="H52" s="85">
        <v>10964</v>
      </c>
      <c r="I52" s="89"/>
      <c r="J52" s="85">
        <v>10996</v>
      </c>
    </row>
    <row r="53" spans="1:14" s="86" customFormat="1" ht="24" customHeight="1">
      <c r="A53" s="90" t="s">
        <v>118</v>
      </c>
      <c r="B53" s="84"/>
      <c r="C53" s="84"/>
      <c r="D53" s="85">
        <v>2037</v>
      </c>
      <c r="E53" s="89"/>
      <c r="F53" s="85">
        <v>6324</v>
      </c>
      <c r="G53" s="89"/>
      <c r="H53" s="89">
        <v>2037</v>
      </c>
      <c r="I53" s="89"/>
      <c r="J53" s="89">
        <v>4130</v>
      </c>
    </row>
    <row r="54" spans="1:14" s="86" customFormat="1" ht="24" customHeight="1">
      <c r="A54" s="90" t="s">
        <v>42</v>
      </c>
      <c r="B54" s="84"/>
      <c r="C54" s="84"/>
      <c r="D54" s="89">
        <f>76718-9455</f>
        <v>67263</v>
      </c>
      <c r="E54" s="89"/>
      <c r="F54" s="89">
        <v>61915</v>
      </c>
      <c r="G54" s="89"/>
      <c r="H54" s="89">
        <f>75816-9455+1</f>
        <v>66362</v>
      </c>
      <c r="I54" s="89"/>
      <c r="J54" s="89">
        <v>62089</v>
      </c>
    </row>
    <row r="55" spans="1:14" s="86" customFormat="1" ht="24" customHeight="1">
      <c r="A55" s="87" t="s">
        <v>6</v>
      </c>
      <c r="B55" s="84"/>
      <c r="C55" s="84"/>
      <c r="D55" s="91">
        <f>SUM(D43:D54)</f>
        <v>2957953</v>
      </c>
      <c r="E55" s="89"/>
      <c r="F55" s="91">
        <f>SUM(F43:F54)</f>
        <v>2954431</v>
      </c>
      <c r="G55" s="89"/>
      <c r="H55" s="91">
        <f>SUM(H43:H54)</f>
        <v>2954810</v>
      </c>
      <c r="I55" s="89"/>
      <c r="J55" s="91">
        <f>SUM(J43:J54)</f>
        <v>2952948</v>
      </c>
    </row>
    <row r="56" spans="1:14" s="86" customFormat="1" ht="24" customHeight="1">
      <c r="A56" s="87" t="s">
        <v>18</v>
      </c>
      <c r="B56" s="84"/>
      <c r="C56" s="84"/>
      <c r="D56" s="89"/>
      <c r="E56" s="89"/>
      <c r="F56" s="89"/>
      <c r="G56" s="89"/>
      <c r="H56" s="89"/>
      <c r="I56" s="89"/>
      <c r="J56" s="89"/>
    </row>
    <row r="57" spans="1:14" s="86" customFormat="1" ht="24" customHeight="1">
      <c r="A57" s="96" t="s">
        <v>176</v>
      </c>
      <c r="B57" s="84"/>
      <c r="C57" s="84"/>
      <c r="D57" s="85"/>
      <c r="E57" s="89"/>
      <c r="F57" s="85"/>
      <c r="G57" s="89"/>
      <c r="H57" s="85"/>
      <c r="I57" s="89"/>
      <c r="J57" s="85"/>
    </row>
    <row r="58" spans="1:14" s="86" customFormat="1" ht="24" customHeight="1">
      <c r="A58" s="86" t="s">
        <v>146</v>
      </c>
      <c r="B58" s="84">
        <v>10</v>
      </c>
      <c r="C58" s="84"/>
      <c r="D58" s="141">
        <v>112968</v>
      </c>
      <c r="E58" s="140"/>
      <c r="F58" s="141">
        <v>115385</v>
      </c>
      <c r="G58" s="140"/>
      <c r="H58" s="141">
        <v>112968</v>
      </c>
      <c r="I58" s="140"/>
      <c r="J58" s="141">
        <v>115385</v>
      </c>
    </row>
    <row r="59" spans="1:14" s="86" customFormat="1" ht="24" customHeight="1">
      <c r="A59" s="86" t="s">
        <v>120</v>
      </c>
      <c r="B59" s="84"/>
      <c r="C59" s="84"/>
      <c r="D59" s="85"/>
      <c r="E59" s="89"/>
      <c r="F59" s="85"/>
      <c r="G59" s="89"/>
      <c r="H59" s="85"/>
      <c r="I59" s="89"/>
      <c r="J59" s="85"/>
    </row>
    <row r="60" spans="1:14" s="86" customFormat="1" ht="24" customHeight="1">
      <c r="A60" s="86" t="s">
        <v>119</v>
      </c>
      <c r="B60" s="84">
        <v>11</v>
      </c>
      <c r="C60" s="84"/>
      <c r="D60" s="85">
        <v>3963</v>
      </c>
      <c r="E60" s="89"/>
      <c r="F60" s="85">
        <v>4619</v>
      </c>
      <c r="G60" s="89"/>
      <c r="H60" s="85">
        <v>3963</v>
      </c>
      <c r="I60" s="89"/>
      <c r="J60" s="85">
        <v>4619</v>
      </c>
    </row>
    <row r="61" spans="1:14" s="86" customFormat="1" ht="24" customHeight="1">
      <c r="A61" s="86" t="s">
        <v>73</v>
      </c>
      <c r="B61" s="84">
        <v>12</v>
      </c>
      <c r="C61" s="84"/>
      <c r="D61" s="85">
        <v>52296</v>
      </c>
      <c r="E61" s="89"/>
      <c r="F61" s="85">
        <v>47683</v>
      </c>
      <c r="G61" s="89"/>
      <c r="H61" s="85">
        <v>52296</v>
      </c>
      <c r="I61" s="89"/>
      <c r="J61" s="85">
        <v>47683</v>
      </c>
    </row>
    <row r="62" spans="1:14" s="86" customFormat="1" ht="24" customHeight="1">
      <c r="A62" s="86" t="s">
        <v>103</v>
      </c>
      <c r="B62" s="84"/>
      <c r="C62" s="84"/>
      <c r="D62" s="97">
        <f>10787+9454+1</f>
        <v>20242</v>
      </c>
      <c r="E62" s="89"/>
      <c r="F62" s="97">
        <v>21081</v>
      </c>
      <c r="G62" s="89"/>
      <c r="H62" s="97">
        <f>10787+1+9454</f>
        <v>20242</v>
      </c>
      <c r="I62" s="89"/>
      <c r="J62" s="97">
        <v>21081</v>
      </c>
    </row>
    <row r="63" spans="1:14" ht="24" customHeight="1">
      <c r="A63" s="87" t="s">
        <v>19</v>
      </c>
      <c r="B63" s="84"/>
      <c r="C63" s="84"/>
      <c r="D63" s="98">
        <f>SUM(D57:D62)</f>
        <v>189469</v>
      </c>
      <c r="E63" s="89"/>
      <c r="F63" s="98">
        <f>SUM(F57:F62)</f>
        <v>188768</v>
      </c>
      <c r="G63" s="89"/>
      <c r="H63" s="98">
        <f>SUM(H57:H62)</f>
        <v>189469</v>
      </c>
      <c r="I63" s="89"/>
      <c r="J63" s="98">
        <f>SUM(J57:J62)</f>
        <v>188768</v>
      </c>
      <c r="M63" s="86"/>
      <c r="N63" s="86"/>
    </row>
    <row r="64" spans="1:14" ht="24" customHeight="1">
      <c r="A64" s="87" t="s">
        <v>7</v>
      </c>
      <c r="B64" s="84"/>
      <c r="C64" s="84"/>
      <c r="D64" s="98">
        <f>SUM(D55,D63)</f>
        <v>3147422</v>
      </c>
      <c r="E64" s="99"/>
      <c r="F64" s="98">
        <f>SUM(F55,F63)</f>
        <v>3143199</v>
      </c>
      <c r="G64" s="99"/>
      <c r="H64" s="98">
        <f>SUM(H55,H63)</f>
        <v>3144279</v>
      </c>
      <c r="I64" s="99"/>
      <c r="J64" s="98">
        <f>SUM(J55,J63)</f>
        <v>3141716</v>
      </c>
      <c r="M64" s="86"/>
      <c r="N64" s="86"/>
    </row>
    <row r="65" spans="1:10" ht="24" customHeight="1">
      <c r="A65" s="87"/>
      <c r="B65" s="84"/>
      <c r="C65" s="84"/>
      <c r="D65" s="99"/>
      <c r="E65" s="99"/>
      <c r="F65" s="99"/>
      <c r="G65" s="99"/>
      <c r="H65" s="99"/>
      <c r="I65" s="99"/>
      <c r="J65" s="99"/>
    </row>
    <row r="66" spans="1:10" ht="24" customHeight="1">
      <c r="A66" s="71" t="s">
        <v>172</v>
      </c>
      <c r="C66" s="94"/>
      <c r="D66" s="71"/>
      <c r="F66" s="94"/>
      <c r="G66" s="94"/>
      <c r="H66" s="71"/>
      <c r="I66" s="71"/>
      <c r="J66" s="71"/>
    </row>
    <row r="67" spans="1:10" ht="24" customHeight="1">
      <c r="A67" s="67" t="s">
        <v>180</v>
      </c>
      <c r="B67" s="72"/>
      <c r="C67" s="72"/>
      <c r="D67" s="72"/>
      <c r="E67" s="72"/>
      <c r="F67" s="72"/>
      <c r="G67" s="72"/>
      <c r="H67" s="72"/>
      <c r="I67" s="72"/>
      <c r="J67" s="72"/>
    </row>
    <row r="68" spans="1:10" ht="24" customHeight="1">
      <c r="A68" s="108" t="s">
        <v>179</v>
      </c>
      <c r="B68" s="73"/>
      <c r="C68" s="73"/>
      <c r="D68" s="73"/>
      <c r="E68" s="73"/>
      <c r="F68" s="73"/>
      <c r="G68" s="73"/>
      <c r="H68" s="73"/>
      <c r="I68" s="73"/>
      <c r="J68" s="73"/>
    </row>
    <row r="69" spans="1:10" ht="24" customHeight="1">
      <c r="A69" s="67" t="s">
        <v>72</v>
      </c>
      <c r="B69" s="72"/>
      <c r="C69" s="72"/>
      <c r="D69" s="72"/>
      <c r="E69" s="72"/>
      <c r="F69" s="72"/>
      <c r="G69" s="72"/>
      <c r="H69" s="72"/>
      <c r="I69" s="72"/>
      <c r="J69" s="72"/>
    </row>
    <row r="70" spans="1:10" ht="24" customHeight="1">
      <c r="A70" s="67" t="s">
        <v>177</v>
      </c>
      <c r="B70" s="72"/>
      <c r="C70" s="72"/>
      <c r="D70" s="72"/>
      <c r="E70" s="72"/>
      <c r="F70" s="72"/>
      <c r="G70" s="72"/>
      <c r="H70" s="72"/>
      <c r="I70" s="72"/>
      <c r="J70" s="72"/>
    </row>
    <row r="71" spans="1:10" ht="24" customHeight="1">
      <c r="A71" s="145" t="s">
        <v>36</v>
      </c>
      <c r="B71" s="145"/>
      <c r="C71" s="145"/>
      <c r="D71" s="145"/>
      <c r="E71" s="145"/>
      <c r="F71" s="145"/>
      <c r="G71" s="145"/>
      <c r="H71" s="145"/>
      <c r="I71" s="145"/>
      <c r="J71" s="145"/>
    </row>
    <row r="72" spans="1:10" s="74" customFormat="1" ht="24" customHeight="1">
      <c r="B72" s="75"/>
      <c r="C72" s="75"/>
      <c r="D72" s="146" t="s">
        <v>0</v>
      </c>
      <c r="E72" s="146"/>
      <c r="F72" s="146"/>
      <c r="G72" s="76"/>
      <c r="H72" s="146" t="s">
        <v>31</v>
      </c>
      <c r="I72" s="146"/>
      <c r="J72" s="146"/>
    </row>
    <row r="73" spans="1:10" ht="24" customHeight="1">
      <c r="B73" s="77" t="s">
        <v>1</v>
      </c>
      <c r="C73" s="77"/>
      <c r="D73" s="78" t="s">
        <v>178</v>
      </c>
      <c r="E73" s="79"/>
      <c r="F73" s="78" t="s">
        <v>167</v>
      </c>
      <c r="G73" s="80"/>
      <c r="H73" s="78" t="s">
        <v>178</v>
      </c>
      <c r="I73" s="79"/>
      <c r="J73" s="78" t="s">
        <v>167</v>
      </c>
    </row>
    <row r="74" spans="1:10" ht="24" customHeight="1">
      <c r="B74" s="77"/>
      <c r="C74" s="77"/>
      <c r="D74" s="81" t="s">
        <v>28</v>
      </c>
      <c r="E74" s="79"/>
      <c r="F74" s="81" t="s">
        <v>29</v>
      </c>
      <c r="G74" s="80"/>
      <c r="H74" s="81" t="s">
        <v>28</v>
      </c>
      <c r="I74" s="79"/>
      <c r="J74" s="81" t="s">
        <v>29</v>
      </c>
    </row>
    <row r="75" spans="1:10" ht="24" customHeight="1">
      <c r="B75" s="77"/>
      <c r="C75" s="77"/>
      <c r="D75" s="81" t="s">
        <v>30</v>
      </c>
      <c r="E75" s="79"/>
      <c r="F75" s="82"/>
      <c r="G75" s="80"/>
      <c r="H75" s="81" t="s">
        <v>30</v>
      </c>
      <c r="I75" s="79"/>
      <c r="J75" s="82"/>
    </row>
    <row r="76" spans="1:10" s="86" customFormat="1" ht="24" customHeight="1">
      <c r="A76" s="87" t="s">
        <v>8</v>
      </c>
      <c r="B76" s="84"/>
      <c r="C76" s="84"/>
      <c r="D76" s="85"/>
      <c r="E76" s="85"/>
      <c r="F76" s="85"/>
      <c r="G76" s="85"/>
      <c r="H76" s="85"/>
      <c r="I76" s="85"/>
      <c r="J76" s="85"/>
    </row>
    <row r="77" spans="1:10" s="86" customFormat="1" ht="24" customHeight="1">
      <c r="A77" s="86" t="s">
        <v>10</v>
      </c>
      <c r="B77" s="84"/>
      <c r="C77" s="84"/>
      <c r="D77" s="85"/>
      <c r="E77" s="85"/>
      <c r="F77" s="85"/>
      <c r="G77" s="85"/>
      <c r="H77" s="85"/>
      <c r="I77" s="85"/>
      <c r="J77" s="85"/>
    </row>
    <row r="78" spans="1:10" s="86" customFormat="1" ht="24" customHeight="1">
      <c r="A78" s="86" t="s">
        <v>43</v>
      </c>
      <c r="B78" s="84"/>
      <c r="C78" s="84"/>
      <c r="D78" s="85"/>
      <c r="E78" s="85"/>
      <c r="F78" s="85"/>
      <c r="G78" s="85"/>
      <c r="H78" s="85"/>
      <c r="I78" s="85"/>
      <c r="J78" s="85"/>
    </row>
    <row r="79" spans="1:10" s="86" customFormat="1" ht="24" customHeight="1">
      <c r="A79" s="86" t="s">
        <v>191</v>
      </c>
      <c r="B79" s="84">
        <v>13</v>
      </c>
      <c r="C79" s="84"/>
    </row>
    <row r="80" spans="1:10" s="86" customFormat="1" ht="24" customHeight="1">
      <c r="A80" s="132" t="s">
        <v>189</v>
      </c>
      <c r="B80" s="84"/>
      <c r="C80" s="84"/>
      <c r="D80" s="130"/>
      <c r="E80" s="89"/>
      <c r="F80" s="130"/>
      <c r="G80" s="89"/>
      <c r="H80" s="130"/>
      <c r="I80" s="89"/>
      <c r="J80" s="131"/>
    </row>
    <row r="81" spans="1:14" s="86" customFormat="1" ht="24" customHeight="1" thickBot="1">
      <c r="A81" s="132" t="s">
        <v>190</v>
      </c>
      <c r="B81" s="84"/>
      <c r="C81" s="84"/>
      <c r="D81" s="92">
        <v>550000</v>
      </c>
      <c r="E81" s="89"/>
      <c r="F81" s="92">
        <v>400000</v>
      </c>
      <c r="G81" s="89"/>
      <c r="H81" s="92">
        <v>550000</v>
      </c>
      <c r="I81" s="89"/>
      <c r="J81" s="100">
        <v>400000</v>
      </c>
    </row>
    <row r="82" spans="1:14" s="86" customFormat="1" ht="24" customHeight="1" thickTop="1">
      <c r="A82" s="86" t="s">
        <v>99</v>
      </c>
      <c r="B82" s="84"/>
      <c r="C82" s="84"/>
      <c r="E82" s="89"/>
      <c r="G82" s="89"/>
      <c r="H82" s="89"/>
      <c r="I82" s="89"/>
      <c r="J82" s="101"/>
    </row>
    <row r="83" spans="1:14" s="86" customFormat="1" ht="24" customHeight="1">
      <c r="A83" s="86" t="s">
        <v>192</v>
      </c>
      <c r="B83" s="84">
        <v>13</v>
      </c>
      <c r="C83" s="84"/>
    </row>
    <row r="84" spans="1:14" s="86" customFormat="1" ht="24" customHeight="1">
      <c r="A84" s="132" t="s">
        <v>189</v>
      </c>
      <c r="B84" s="84"/>
      <c r="C84" s="84"/>
      <c r="D84" s="89"/>
      <c r="E84" s="89"/>
      <c r="F84" s="89"/>
      <c r="G84" s="89"/>
      <c r="H84" s="89"/>
      <c r="I84" s="89"/>
      <c r="J84" s="89"/>
    </row>
    <row r="85" spans="1:14" s="86" customFormat="1" ht="24" customHeight="1">
      <c r="A85" s="132" t="s">
        <v>190</v>
      </c>
      <c r="B85" s="84"/>
      <c r="C85" s="84"/>
      <c r="D85" s="89">
        <f>SUM(Conso!C24)</f>
        <v>400000</v>
      </c>
      <c r="E85" s="89"/>
      <c r="F85" s="89">
        <f>SUM(Conso!C20)</f>
        <v>400000</v>
      </c>
      <c r="G85" s="89"/>
      <c r="H85" s="89">
        <f>SUM('The Company'!B20)</f>
        <v>400000</v>
      </c>
      <c r="I85" s="89"/>
      <c r="J85" s="89">
        <f>SUM('The Company'!B16)</f>
        <v>400000</v>
      </c>
    </row>
    <row r="86" spans="1:14" s="86" customFormat="1" ht="24" customHeight="1">
      <c r="A86" s="86" t="s">
        <v>59</v>
      </c>
      <c r="B86" s="84"/>
      <c r="C86" s="84"/>
      <c r="D86" s="89">
        <f>SUM(Conso!E24)</f>
        <v>6000</v>
      </c>
      <c r="E86" s="89"/>
      <c r="F86" s="89">
        <f>SUM(Conso!E20)</f>
        <v>6000</v>
      </c>
      <c r="G86" s="89"/>
      <c r="H86" s="89">
        <f>SUM('The Company'!D20)</f>
        <v>6000</v>
      </c>
      <c r="I86" s="89"/>
      <c r="J86" s="89">
        <f>SUM('The Company'!D16)</f>
        <v>6000</v>
      </c>
    </row>
    <row r="87" spans="1:14" s="86" customFormat="1" ht="24" customHeight="1">
      <c r="A87" s="86" t="s">
        <v>27</v>
      </c>
      <c r="B87" s="84"/>
      <c r="C87" s="84"/>
      <c r="D87" s="89"/>
      <c r="E87" s="89"/>
      <c r="F87" s="89"/>
      <c r="G87" s="89"/>
      <c r="H87" s="89"/>
      <c r="I87" s="89"/>
      <c r="J87" s="89"/>
    </row>
    <row r="88" spans="1:14" s="86" customFormat="1" ht="24" customHeight="1">
      <c r="A88" s="86" t="s">
        <v>44</v>
      </c>
      <c r="B88" s="84"/>
      <c r="C88" s="84"/>
      <c r="D88" s="89">
        <f>SUM(Conso!G24)</f>
        <v>40000</v>
      </c>
      <c r="E88" s="89"/>
      <c r="F88" s="89">
        <f>SUM(Conso!G20)</f>
        <v>40000</v>
      </c>
      <c r="G88" s="89"/>
      <c r="H88" s="89">
        <f>SUM('The Company'!F20)</f>
        <v>40000</v>
      </c>
      <c r="I88" s="89"/>
      <c r="J88" s="89">
        <f>SUM('The Company'!F16)</f>
        <v>40000</v>
      </c>
    </row>
    <row r="89" spans="1:14" ht="24" customHeight="1">
      <c r="A89" s="86" t="s">
        <v>92</v>
      </c>
      <c r="C89" s="94"/>
      <c r="D89" s="89">
        <f>SUM(Conso!I24)</f>
        <v>276292</v>
      </c>
      <c r="E89" s="89"/>
      <c r="F89" s="89">
        <f>SUM(Conso!I20)</f>
        <v>137411</v>
      </c>
      <c r="G89" s="89"/>
      <c r="H89" s="89">
        <f>SUM('The Company'!H20)</f>
        <v>270410</v>
      </c>
      <c r="I89" s="89"/>
      <c r="J89" s="89">
        <f>SUM('The Company'!H16)</f>
        <v>133207</v>
      </c>
      <c r="L89" s="86"/>
      <c r="M89" s="86"/>
      <c r="N89" s="86"/>
    </row>
    <row r="90" spans="1:14" ht="24" customHeight="1">
      <c r="A90" s="71" t="s">
        <v>74</v>
      </c>
      <c r="C90" s="94"/>
      <c r="D90" s="98">
        <f>SUM(Conso!O24)</f>
        <v>4436</v>
      </c>
      <c r="E90" s="89"/>
      <c r="F90" s="98">
        <f>SUM(Conso!O20)</f>
        <v>3969</v>
      </c>
      <c r="G90" s="89"/>
      <c r="H90" s="98">
        <f>SUM('The Company'!J20)</f>
        <v>4303</v>
      </c>
      <c r="I90" s="89"/>
      <c r="J90" s="98">
        <f>SUM('The Company'!J16)</f>
        <v>4303</v>
      </c>
      <c r="L90" s="86"/>
      <c r="M90" s="86"/>
      <c r="N90" s="86"/>
    </row>
    <row r="91" spans="1:14" ht="24" customHeight="1">
      <c r="A91" s="71" t="s">
        <v>37</v>
      </c>
      <c r="C91" s="94"/>
      <c r="D91" s="89">
        <f>SUM(D84:D90)</f>
        <v>726728</v>
      </c>
      <c r="E91" s="89"/>
      <c r="F91" s="89">
        <f>SUM(F84:F90)</f>
        <v>587380</v>
      </c>
      <c r="G91" s="89"/>
      <c r="H91" s="89">
        <f>SUM(H84:H90)</f>
        <v>720713</v>
      </c>
      <c r="I91" s="89"/>
      <c r="J91" s="101">
        <f>SUM(J84:J90)</f>
        <v>583510</v>
      </c>
      <c r="M91" s="86"/>
      <c r="N91" s="86"/>
    </row>
    <row r="92" spans="1:14" ht="24" customHeight="1">
      <c r="A92" s="71" t="s">
        <v>121</v>
      </c>
      <c r="C92" s="94"/>
      <c r="D92" s="89">
        <f>SUM(Conso!S24)</f>
        <v>-73</v>
      </c>
      <c r="E92" s="89"/>
      <c r="F92" s="89">
        <f>SUM(Conso!S20)</f>
        <v>-36</v>
      </c>
      <c r="G92" s="89"/>
      <c r="H92" s="89">
        <v>0</v>
      </c>
      <c r="I92" s="89"/>
      <c r="J92" s="101">
        <v>0</v>
      </c>
      <c r="M92" s="86"/>
      <c r="N92" s="86"/>
    </row>
    <row r="93" spans="1:14" ht="24" customHeight="1">
      <c r="A93" s="87" t="s">
        <v>24</v>
      </c>
      <c r="C93" s="94"/>
      <c r="D93" s="102">
        <f>SUM(D91:D92)</f>
        <v>726655</v>
      </c>
      <c r="E93" s="89"/>
      <c r="F93" s="102">
        <f>SUM(F91:F92)</f>
        <v>587344</v>
      </c>
      <c r="G93" s="89"/>
      <c r="H93" s="102">
        <f>SUM(H91:H92)</f>
        <v>720713</v>
      </c>
      <c r="I93" s="89"/>
      <c r="J93" s="103">
        <f>SUM(J91:J92)</f>
        <v>583510</v>
      </c>
      <c r="M93" s="86"/>
      <c r="N93" s="86"/>
    </row>
    <row r="94" spans="1:14" ht="24" customHeight="1" thickBot="1">
      <c r="A94" s="87" t="s">
        <v>9</v>
      </c>
      <c r="C94" s="94"/>
      <c r="D94" s="104">
        <f>SUM(D93,D64)</f>
        <v>3874077</v>
      </c>
      <c r="E94" s="89"/>
      <c r="F94" s="104">
        <f>SUM(F93,F64)</f>
        <v>3730543</v>
      </c>
      <c r="G94" s="89"/>
      <c r="H94" s="104">
        <f>SUM(H93,H64)</f>
        <v>3864992</v>
      </c>
      <c r="I94" s="89"/>
      <c r="J94" s="105">
        <f>SUM(J93,J64)</f>
        <v>3725226</v>
      </c>
      <c r="M94" s="86"/>
      <c r="N94" s="86"/>
    </row>
    <row r="95" spans="1:14" ht="24" customHeight="1" thickTop="1">
      <c r="A95" s="87"/>
      <c r="C95" s="94"/>
      <c r="D95" s="89">
        <f>SUM(D94-D29)</f>
        <v>0</v>
      </c>
      <c r="E95" s="89">
        <f>SUM(E94-E29)</f>
        <v>0</v>
      </c>
      <c r="F95" s="101">
        <f>SUM(F94-F29)</f>
        <v>0</v>
      </c>
      <c r="G95" s="89"/>
      <c r="H95" s="89">
        <f>SUM(H94-H29)</f>
        <v>0</v>
      </c>
      <c r="I95" s="89"/>
      <c r="J95" s="101">
        <f>SUM(J94-J29)</f>
        <v>0</v>
      </c>
    </row>
    <row r="96" spans="1:14" ht="24" customHeight="1">
      <c r="A96" s="71" t="s">
        <v>172</v>
      </c>
      <c r="B96" s="84"/>
      <c r="C96" s="94"/>
      <c r="D96" s="71"/>
      <c r="E96" s="94"/>
      <c r="F96" s="94"/>
      <c r="G96" s="94"/>
      <c r="H96" s="71"/>
      <c r="I96" s="71"/>
      <c r="J96" s="71"/>
    </row>
    <row r="97" spans="1:10" ht="24" customHeight="1">
      <c r="A97" s="86"/>
      <c r="B97" s="84"/>
      <c r="C97" s="94"/>
      <c r="D97" s="106"/>
      <c r="E97" s="94"/>
      <c r="F97" s="106"/>
      <c r="G97" s="94"/>
      <c r="H97" s="106"/>
      <c r="I97" s="71"/>
      <c r="J97" s="106"/>
    </row>
    <row r="98" spans="1:10" ht="24" customHeight="1">
      <c r="A98" s="107"/>
      <c r="B98" s="86"/>
      <c r="C98" s="94"/>
      <c r="D98" s="71"/>
      <c r="E98" s="94"/>
      <c r="F98" s="94"/>
      <c r="G98" s="94"/>
      <c r="H98" s="71"/>
      <c r="I98" s="71"/>
      <c r="J98" s="71"/>
    </row>
    <row r="99" spans="1:10" ht="24" customHeight="1">
      <c r="A99" s="86"/>
      <c r="B99" s="86"/>
      <c r="C99" s="94"/>
      <c r="D99" s="71"/>
      <c r="E99" s="94"/>
      <c r="F99" s="94"/>
      <c r="G99" s="94"/>
      <c r="H99" s="71"/>
      <c r="I99" s="71"/>
      <c r="J99" s="71"/>
    </row>
    <row r="100" spans="1:10" ht="24" customHeight="1">
      <c r="A100" s="88"/>
      <c r="B100" s="90" t="s">
        <v>96</v>
      </c>
    </row>
    <row r="101" spans="1:10" ht="24" customHeight="1">
      <c r="A101" s="107"/>
      <c r="B101" s="86"/>
    </row>
  </sheetData>
  <mergeCells count="9">
    <mergeCell ref="A71:J71"/>
    <mergeCell ref="D72:F72"/>
    <mergeCell ref="H72:J72"/>
    <mergeCell ref="A5:J5"/>
    <mergeCell ref="D6:F6"/>
    <mergeCell ref="H6:J6"/>
    <mergeCell ref="A36:J36"/>
    <mergeCell ref="D37:F37"/>
    <mergeCell ref="H37:J37"/>
  </mergeCells>
  <printOptions horizontalCentered="1" gridLinesSet="0"/>
  <pageMargins left="0.7" right="0.19" top="0.78700000000000003" bottom="0.196850393700787" header="0.196850393700787" footer="0.196850393700787"/>
  <pageSetup paperSize="9" scale="75" fitToHeight="6" orientation="portrait" r:id="rId1"/>
  <headerFooter alignWithMargins="0"/>
  <rowBreaks count="2" manualBreakCount="2">
    <brk id="31" max="16383" man="1"/>
    <brk id="66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198"/>
  <sheetViews>
    <sheetView showGridLines="0" view="pageBreakPreview" topLeftCell="A34" zoomScaleSheetLayoutView="100" workbookViewId="0">
      <selection activeCell="M20" sqref="M20:S29"/>
    </sheetView>
  </sheetViews>
  <sheetFormatPr defaultColWidth="10.7109375" defaultRowHeight="24" customHeight="1"/>
  <cols>
    <col min="1" max="1" width="44.5703125" style="5" customWidth="1"/>
    <col min="2" max="2" width="5.5703125" style="5" customWidth="1"/>
    <col min="3" max="3" width="8.28515625" style="19" customWidth="1"/>
    <col min="4" max="4" width="1.42578125" style="19" customWidth="1"/>
    <col min="5" max="5" width="14.7109375" style="20" customWidth="1"/>
    <col min="6" max="6" width="1" style="5" customWidth="1"/>
    <col min="7" max="7" width="14.7109375" style="20" customWidth="1"/>
    <col min="8" max="8" width="1" style="5" customWidth="1"/>
    <col min="9" max="9" width="14.7109375" style="20" customWidth="1"/>
    <col min="10" max="10" width="1" style="5" customWidth="1"/>
    <col min="11" max="11" width="14.7109375" style="20" customWidth="1"/>
    <col min="12" max="12" width="0.42578125" style="5" customWidth="1"/>
    <col min="13" max="16384" width="10.7109375" style="5"/>
  </cols>
  <sheetData>
    <row r="1" spans="1:21" ht="24" customHeight="1">
      <c r="B1" s="23"/>
      <c r="C1" s="23"/>
      <c r="K1" s="59" t="s">
        <v>139</v>
      </c>
    </row>
    <row r="2" spans="1:21" ht="24" customHeight="1">
      <c r="A2" s="67" t="s">
        <v>180</v>
      </c>
      <c r="B2" s="9"/>
      <c r="C2" s="10"/>
      <c r="D2" s="10"/>
      <c r="E2" s="11"/>
      <c r="F2" s="9"/>
      <c r="G2" s="11"/>
      <c r="H2" s="9"/>
      <c r="I2" s="11"/>
      <c r="J2" s="9"/>
      <c r="K2" s="11"/>
    </row>
    <row r="3" spans="1:21" ht="24" customHeight="1">
      <c r="A3" s="108" t="s">
        <v>179</v>
      </c>
      <c r="B3" s="9"/>
      <c r="C3" s="10"/>
      <c r="D3" s="10"/>
      <c r="E3" s="11"/>
      <c r="F3" s="9"/>
      <c r="G3" s="11"/>
      <c r="H3" s="9"/>
      <c r="I3" s="11"/>
      <c r="J3" s="9"/>
      <c r="K3" s="11"/>
    </row>
    <row r="4" spans="1:21" ht="24" customHeight="1">
      <c r="A4" s="58" t="s">
        <v>75</v>
      </c>
      <c r="B4" s="9"/>
      <c r="C4" s="10"/>
      <c r="D4" s="10"/>
      <c r="E4" s="11"/>
      <c r="F4" s="9"/>
      <c r="G4" s="11"/>
      <c r="H4" s="9"/>
      <c r="I4" s="11"/>
      <c r="J4" s="9"/>
      <c r="K4" s="11"/>
    </row>
    <row r="5" spans="1:21" ht="24" customHeight="1">
      <c r="A5" s="58" t="s">
        <v>166</v>
      </c>
      <c r="B5" s="9"/>
      <c r="C5" s="10"/>
      <c r="D5" s="10"/>
      <c r="E5" s="11"/>
      <c r="F5" s="9"/>
      <c r="G5" s="11"/>
      <c r="H5" s="9"/>
      <c r="I5" s="11"/>
      <c r="J5" s="9"/>
      <c r="K5" s="11"/>
    </row>
    <row r="6" spans="1:21" ht="24" customHeight="1">
      <c r="B6" s="149" t="s">
        <v>94</v>
      </c>
      <c r="C6" s="149"/>
      <c r="D6" s="149"/>
      <c r="E6" s="149"/>
      <c r="F6" s="149"/>
      <c r="G6" s="149"/>
      <c r="H6" s="149"/>
      <c r="I6" s="149"/>
      <c r="J6" s="149"/>
      <c r="K6" s="149"/>
    </row>
    <row r="7" spans="1:21" s="12" customFormat="1" ht="24" customHeight="1">
      <c r="C7" s="13"/>
      <c r="D7" s="13"/>
      <c r="E7" s="148" t="s">
        <v>0</v>
      </c>
      <c r="F7" s="148"/>
      <c r="G7" s="148"/>
      <c r="H7" s="14"/>
      <c r="I7" s="148" t="s">
        <v>31</v>
      </c>
      <c r="J7" s="148"/>
      <c r="K7" s="148"/>
    </row>
    <row r="8" spans="1:21" ht="24" customHeight="1">
      <c r="C8" s="15" t="s">
        <v>1</v>
      </c>
      <c r="D8" s="24"/>
      <c r="E8" s="16">
        <v>2563</v>
      </c>
      <c r="F8" s="16"/>
      <c r="G8" s="16">
        <v>2562</v>
      </c>
      <c r="H8" s="17"/>
      <c r="I8" s="16">
        <v>2563</v>
      </c>
      <c r="J8" s="16"/>
      <c r="K8" s="16">
        <v>2562</v>
      </c>
    </row>
    <row r="9" spans="1:21" ht="24" customHeight="1">
      <c r="A9" s="12" t="s">
        <v>76</v>
      </c>
      <c r="C9" s="49"/>
      <c r="D9" s="24"/>
      <c r="E9" s="16"/>
      <c r="F9" s="16"/>
      <c r="G9" s="16"/>
      <c r="H9" s="17"/>
      <c r="I9" s="16"/>
      <c r="J9" s="16"/>
      <c r="K9" s="18"/>
      <c r="O9" s="63"/>
      <c r="Q9" s="63"/>
      <c r="S9" s="63"/>
      <c r="U9" s="63"/>
    </row>
    <row r="10" spans="1:21" ht="24" customHeight="1">
      <c r="A10" s="12" t="s">
        <v>20</v>
      </c>
      <c r="C10" s="48"/>
    </row>
    <row r="11" spans="1:21" ht="24" customHeight="1">
      <c r="A11" s="5" t="s">
        <v>45</v>
      </c>
      <c r="C11" s="48"/>
      <c r="E11" s="25">
        <v>702269</v>
      </c>
      <c r="F11" s="36"/>
      <c r="G11" s="25">
        <v>530911</v>
      </c>
      <c r="H11" s="36"/>
      <c r="I11" s="127">
        <v>694376</v>
      </c>
      <c r="J11" s="36"/>
      <c r="K11" s="25">
        <v>510360</v>
      </c>
      <c r="M11" s="133">
        <v>724727</v>
      </c>
      <c r="N11" s="137">
        <f t="shared" ref="N11:N26" si="0">M11+E11-E69</f>
        <v>0</v>
      </c>
      <c r="O11" s="133">
        <v>478728</v>
      </c>
      <c r="P11" s="137">
        <f t="shared" ref="P11:P26" si="1">O11+G11-G69</f>
        <v>0</v>
      </c>
      <c r="Q11" s="133">
        <v>705515</v>
      </c>
      <c r="R11" s="137">
        <f t="shared" ref="R11:R26" si="2">Q11+I11-I69</f>
        <v>0</v>
      </c>
      <c r="S11" s="133">
        <v>474750</v>
      </c>
      <c r="T11" s="137">
        <f t="shared" ref="T11:T26" si="3">S11+K11-K69</f>
        <v>0</v>
      </c>
    </row>
    <row r="12" spans="1:21" ht="24" customHeight="1">
      <c r="A12" s="5" t="s">
        <v>46</v>
      </c>
      <c r="C12" s="48"/>
      <c r="E12" s="127">
        <v>3523</v>
      </c>
      <c r="F12" s="36"/>
      <c r="G12" s="25">
        <f>1509+3410</f>
        <v>4919</v>
      </c>
      <c r="H12" s="36"/>
      <c r="I12" s="25">
        <v>5332</v>
      </c>
      <c r="J12" s="36"/>
      <c r="K12" s="25">
        <f>4849+3410</f>
        <v>8259</v>
      </c>
      <c r="M12" s="133">
        <v>10984</v>
      </c>
      <c r="N12" s="137">
        <f t="shared" si="0"/>
        <v>0</v>
      </c>
      <c r="O12" s="133">
        <v>9122</v>
      </c>
      <c r="P12" s="137">
        <f t="shared" si="1"/>
        <v>0</v>
      </c>
      <c r="Q12" s="133">
        <v>12010</v>
      </c>
      <c r="R12" s="137">
        <f t="shared" si="2"/>
        <v>0</v>
      </c>
      <c r="S12" s="133">
        <v>9122</v>
      </c>
      <c r="T12" s="137">
        <f t="shared" si="3"/>
        <v>0</v>
      </c>
    </row>
    <row r="13" spans="1:21" ht="24" customHeight="1">
      <c r="A13" s="5" t="s">
        <v>147</v>
      </c>
      <c r="C13" s="48"/>
      <c r="E13" s="127">
        <v>0</v>
      </c>
      <c r="F13" s="36"/>
      <c r="G13" s="25">
        <v>5960</v>
      </c>
      <c r="H13" s="36"/>
      <c r="I13" s="25">
        <v>0</v>
      </c>
      <c r="J13" s="36"/>
      <c r="K13" s="25">
        <v>5861</v>
      </c>
      <c r="M13" s="133">
        <v>0</v>
      </c>
      <c r="N13" s="137">
        <f t="shared" si="0"/>
        <v>0</v>
      </c>
      <c r="O13" s="133">
        <v>2607</v>
      </c>
      <c r="P13" s="137">
        <f t="shared" si="1"/>
        <v>0</v>
      </c>
      <c r="Q13" s="133">
        <v>0</v>
      </c>
      <c r="R13" s="137">
        <f t="shared" si="2"/>
        <v>0</v>
      </c>
      <c r="S13" s="133">
        <v>2950</v>
      </c>
      <c r="T13" s="137">
        <f t="shared" si="3"/>
        <v>0</v>
      </c>
    </row>
    <row r="14" spans="1:21" ht="24" customHeight="1">
      <c r="A14" s="5" t="s">
        <v>111</v>
      </c>
      <c r="C14" s="48"/>
      <c r="E14" s="26">
        <f>1639+200</f>
        <v>1839</v>
      </c>
      <c r="F14" s="25"/>
      <c r="G14" s="26">
        <f>9723-3410</f>
        <v>6313</v>
      </c>
      <c r="H14" s="25"/>
      <c r="I14" s="26">
        <f>3953+200</f>
        <v>4153</v>
      </c>
      <c r="J14" s="25"/>
      <c r="K14" s="26">
        <f>10271-3410</f>
        <v>6861</v>
      </c>
      <c r="M14" s="134">
        <v>7146</v>
      </c>
      <c r="N14" s="137">
        <f t="shared" si="0"/>
        <v>0</v>
      </c>
      <c r="O14" s="134">
        <v>5170</v>
      </c>
      <c r="P14" s="137">
        <f t="shared" si="1"/>
        <v>0</v>
      </c>
      <c r="Q14" s="134">
        <v>9469</v>
      </c>
      <c r="R14" s="137">
        <f t="shared" si="2"/>
        <v>0</v>
      </c>
      <c r="S14" s="134">
        <v>5170</v>
      </c>
      <c r="T14" s="137">
        <f t="shared" si="3"/>
        <v>0</v>
      </c>
    </row>
    <row r="15" spans="1:21" ht="24" customHeight="1">
      <c r="A15" s="12" t="s">
        <v>21</v>
      </c>
      <c r="C15" s="48"/>
      <c r="E15" s="26">
        <f>SUM(E11:E14)</f>
        <v>707631</v>
      </c>
      <c r="F15" s="36"/>
      <c r="G15" s="26">
        <f>SUM(G11:G14)</f>
        <v>548103</v>
      </c>
      <c r="H15" s="36"/>
      <c r="I15" s="26">
        <f>SUM(I11:I14)</f>
        <v>703861</v>
      </c>
      <c r="J15" s="36"/>
      <c r="K15" s="26">
        <f>SUM(K11:K14)</f>
        <v>531341</v>
      </c>
      <c r="M15" s="134">
        <v>742857</v>
      </c>
      <c r="N15" s="137">
        <f t="shared" si="0"/>
        <v>0</v>
      </c>
      <c r="O15" s="134">
        <v>495627</v>
      </c>
      <c r="P15" s="137">
        <f t="shared" si="1"/>
        <v>0</v>
      </c>
      <c r="Q15" s="134">
        <v>726994</v>
      </c>
      <c r="R15" s="137">
        <f t="shared" si="2"/>
        <v>0</v>
      </c>
      <c r="S15" s="134">
        <v>491992</v>
      </c>
      <c r="T15" s="137">
        <f t="shared" si="3"/>
        <v>0</v>
      </c>
    </row>
    <row r="16" spans="1:21" ht="24" customHeight="1">
      <c r="A16" s="12" t="s">
        <v>22</v>
      </c>
      <c r="C16" s="48"/>
      <c r="E16" s="36"/>
      <c r="F16" s="36"/>
      <c r="G16" s="36"/>
      <c r="H16" s="36"/>
      <c r="I16" s="36"/>
      <c r="J16" s="36"/>
      <c r="K16" s="36"/>
      <c r="M16" s="137"/>
      <c r="N16" s="137">
        <f t="shared" si="0"/>
        <v>0</v>
      </c>
      <c r="O16" s="137"/>
      <c r="P16" s="137">
        <f t="shared" si="1"/>
        <v>0</v>
      </c>
      <c r="Q16" s="137"/>
      <c r="R16" s="137">
        <f t="shared" si="2"/>
        <v>0</v>
      </c>
      <c r="S16" s="137"/>
      <c r="T16" s="137">
        <f t="shared" si="3"/>
        <v>0</v>
      </c>
    </row>
    <row r="17" spans="1:20" ht="24" customHeight="1">
      <c r="A17" s="5" t="s">
        <v>104</v>
      </c>
      <c r="C17" s="48"/>
      <c r="E17" s="27">
        <f>524602+200</f>
        <v>524802</v>
      </c>
      <c r="F17" s="36"/>
      <c r="G17" s="27">
        <f>436196+4643</f>
        <v>440839</v>
      </c>
      <c r="H17" s="36"/>
      <c r="I17" s="27">
        <f>518625+200</f>
        <v>518825</v>
      </c>
      <c r="J17" s="36"/>
      <c r="K17" s="27">
        <f>425026+1303</f>
        <v>426329</v>
      </c>
      <c r="M17" s="133">
        <v>577139</v>
      </c>
      <c r="N17" s="137">
        <f t="shared" si="0"/>
        <v>0</v>
      </c>
      <c r="O17" s="133">
        <v>411727</v>
      </c>
      <c r="P17" s="137">
        <f t="shared" si="1"/>
        <v>0</v>
      </c>
      <c r="Q17" s="135">
        <v>566642</v>
      </c>
      <c r="R17" s="137">
        <f t="shared" si="2"/>
        <v>0</v>
      </c>
      <c r="S17" s="135">
        <v>408609</v>
      </c>
      <c r="T17" s="137">
        <f t="shared" si="3"/>
        <v>0</v>
      </c>
    </row>
    <row r="18" spans="1:20" ht="24" customHeight="1">
      <c r="A18" s="5" t="s">
        <v>105</v>
      </c>
      <c r="C18" s="48"/>
      <c r="E18" s="27">
        <v>3446</v>
      </c>
      <c r="F18" s="36"/>
      <c r="G18" s="27">
        <f>7463-4643</f>
        <v>2820</v>
      </c>
      <c r="H18" s="36"/>
      <c r="I18" s="27">
        <v>5255</v>
      </c>
      <c r="J18" s="36"/>
      <c r="K18" s="27">
        <f>7463-1303</f>
        <v>6160</v>
      </c>
      <c r="M18" s="133">
        <v>10629</v>
      </c>
      <c r="N18" s="137">
        <f t="shared" si="0"/>
        <v>0</v>
      </c>
      <c r="O18" s="133">
        <v>7079</v>
      </c>
      <c r="P18" s="137">
        <f t="shared" si="1"/>
        <v>0</v>
      </c>
      <c r="Q18" s="135">
        <v>11655</v>
      </c>
      <c r="R18" s="137">
        <f t="shared" si="2"/>
        <v>0</v>
      </c>
      <c r="S18" s="135">
        <v>7079</v>
      </c>
      <c r="T18" s="137">
        <f t="shared" si="3"/>
        <v>0</v>
      </c>
    </row>
    <row r="19" spans="1:20" ht="24" customHeight="1">
      <c r="A19" s="5" t="s">
        <v>60</v>
      </c>
      <c r="C19" s="48"/>
      <c r="E19" s="27">
        <v>57057</v>
      </c>
      <c r="F19" s="36"/>
      <c r="G19" s="27">
        <v>52224</v>
      </c>
      <c r="H19" s="36"/>
      <c r="I19" s="27">
        <v>54238</v>
      </c>
      <c r="J19" s="36"/>
      <c r="K19" s="27">
        <v>51329</v>
      </c>
      <c r="M19" s="133">
        <v>59106</v>
      </c>
      <c r="N19" s="137">
        <f t="shared" si="0"/>
        <v>-104</v>
      </c>
      <c r="O19" s="133">
        <v>53935</v>
      </c>
      <c r="P19" s="137">
        <f t="shared" si="1"/>
        <v>-13</v>
      </c>
      <c r="Q19" s="135">
        <v>58927</v>
      </c>
      <c r="R19" s="137">
        <f t="shared" si="2"/>
        <v>-104</v>
      </c>
      <c r="S19" s="135">
        <v>52653</v>
      </c>
      <c r="T19" s="137">
        <f t="shared" si="3"/>
        <v>-12</v>
      </c>
    </row>
    <row r="20" spans="1:20" ht="24" customHeight="1">
      <c r="A20" s="5" t="s">
        <v>160</v>
      </c>
      <c r="C20" s="48"/>
      <c r="E20" s="27">
        <f>3930+128</f>
        <v>4058</v>
      </c>
      <c r="F20" s="36"/>
      <c r="G20" s="27">
        <v>0</v>
      </c>
      <c r="H20" s="36"/>
      <c r="I20" s="27">
        <f>3928+128-1</f>
        <v>4055</v>
      </c>
      <c r="J20" s="36"/>
      <c r="K20" s="27">
        <v>0</v>
      </c>
      <c r="M20" s="133">
        <v>5100</v>
      </c>
      <c r="N20" s="137">
        <f t="shared" si="0"/>
        <v>0</v>
      </c>
      <c r="O20" s="133">
        <v>0</v>
      </c>
      <c r="P20" s="137">
        <f t="shared" si="1"/>
        <v>0</v>
      </c>
      <c r="Q20" s="135">
        <v>5107</v>
      </c>
      <c r="R20" s="137">
        <f t="shared" si="2"/>
        <v>0</v>
      </c>
      <c r="S20" s="135">
        <v>0</v>
      </c>
      <c r="T20" s="137">
        <f t="shared" si="3"/>
        <v>0</v>
      </c>
    </row>
    <row r="21" spans="1:20" ht="24" customHeight="1">
      <c r="A21" s="12" t="s">
        <v>23</v>
      </c>
      <c r="C21" s="48"/>
      <c r="E21" s="32">
        <f>SUM(E17:E20)</f>
        <v>589363</v>
      </c>
      <c r="F21" s="36"/>
      <c r="G21" s="32">
        <f>SUM(G17:G20)</f>
        <v>495883</v>
      </c>
      <c r="H21" s="36"/>
      <c r="I21" s="32">
        <f>SUM(I17:I20)</f>
        <v>582373</v>
      </c>
      <c r="J21" s="36"/>
      <c r="K21" s="32">
        <f>SUM(K17:K20)</f>
        <v>483818</v>
      </c>
      <c r="M21" s="136">
        <v>652078</v>
      </c>
      <c r="N21" s="137">
        <f t="shared" si="0"/>
        <v>0</v>
      </c>
      <c r="O21" s="136">
        <v>472754</v>
      </c>
      <c r="P21" s="137">
        <f t="shared" si="1"/>
        <v>0</v>
      </c>
      <c r="Q21" s="136">
        <v>642435</v>
      </c>
      <c r="R21" s="137">
        <f t="shared" si="2"/>
        <v>0</v>
      </c>
      <c r="S21" s="136">
        <v>468353</v>
      </c>
      <c r="T21" s="137">
        <f t="shared" si="3"/>
        <v>0</v>
      </c>
    </row>
    <row r="22" spans="1:20" ht="24" customHeight="1">
      <c r="A22" s="109" t="s">
        <v>181</v>
      </c>
      <c r="C22" s="48"/>
      <c r="E22" s="25">
        <f>SUM(E15-E21)</f>
        <v>118268</v>
      </c>
      <c r="F22" s="36"/>
      <c r="G22" s="25">
        <f>SUM(G15-G21)</f>
        <v>52220</v>
      </c>
      <c r="H22" s="36"/>
      <c r="I22" s="25">
        <f>SUM(I15-I21)</f>
        <v>121488</v>
      </c>
      <c r="J22" s="36"/>
      <c r="K22" s="25">
        <f>SUM(K15-K21)</f>
        <v>47523</v>
      </c>
      <c r="M22" s="133">
        <v>90779</v>
      </c>
      <c r="N22" s="137">
        <f t="shared" si="0"/>
        <v>0</v>
      </c>
      <c r="O22" s="133">
        <v>22873</v>
      </c>
      <c r="P22" s="137">
        <f t="shared" si="1"/>
        <v>0</v>
      </c>
      <c r="Q22" s="133">
        <v>84559</v>
      </c>
      <c r="R22" s="137">
        <f t="shared" si="2"/>
        <v>0</v>
      </c>
      <c r="S22" s="133">
        <v>23639</v>
      </c>
      <c r="T22" s="137">
        <f t="shared" si="3"/>
        <v>0</v>
      </c>
    </row>
    <row r="23" spans="1:20" ht="24" customHeight="1">
      <c r="A23" s="110" t="s">
        <v>182</v>
      </c>
      <c r="C23" s="48"/>
      <c r="E23" s="26">
        <f>-19544+776</f>
        <v>-18768</v>
      </c>
      <c r="F23" s="25"/>
      <c r="G23" s="26">
        <v>-15854</v>
      </c>
      <c r="H23" s="25"/>
      <c r="I23" s="26">
        <f>-19431+776</f>
        <v>-18655</v>
      </c>
      <c r="J23" s="25"/>
      <c r="K23" s="26">
        <v>-14867</v>
      </c>
      <c r="M23" s="134">
        <v>-19900</v>
      </c>
      <c r="N23" s="137">
        <f t="shared" si="0"/>
        <v>0</v>
      </c>
      <c r="O23" s="134">
        <v>-17120</v>
      </c>
      <c r="P23" s="137">
        <f t="shared" si="1"/>
        <v>0</v>
      </c>
      <c r="Q23" s="134">
        <v>-19779</v>
      </c>
      <c r="R23" s="137">
        <f t="shared" si="2"/>
        <v>0</v>
      </c>
      <c r="S23" s="134">
        <v>-16440</v>
      </c>
      <c r="T23" s="137">
        <f t="shared" si="3"/>
        <v>0</v>
      </c>
    </row>
    <row r="24" spans="1:20" ht="24" customHeight="1">
      <c r="A24" s="12" t="s">
        <v>193</v>
      </c>
      <c r="C24" s="48"/>
      <c r="E24" s="25">
        <f>SUM(E22:E23)</f>
        <v>99500</v>
      </c>
      <c r="F24" s="25"/>
      <c r="G24" s="25">
        <f>SUM(G22:G23)</f>
        <v>36366</v>
      </c>
      <c r="H24" s="25"/>
      <c r="I24" s="25">
        <f>SUM(I22:I23)</f>
        <v>102833</v>
      </c>
      <c r="J24" s="25"/>
      <c r="K24" s="25">
        <f>SUM(K22:K23)</f>
        <v>32656</v>
      </c>
      <c r="M24" s="133">
        <v>70879</v>
      </c>
      <c r="N24" s="137">
        <f t="shared" si="0"/>
        <v>0</v>
      </c>
      <c r="O24" s="133">
        <v>5753</v>
      </c>
      <c r="P24" s="137">
        <f t="shared" si="1"/>
        <v>0</v>
      </c>
      <c r="Q24" s="133">
        <v>64780</v>
      </c>
      <c r="R24" s="137">
        <f t="shared" si="2"/>
        <v>0</v>
      </c>
      <c r="S24" s="133">
        <v>7199</v>
      </c>
      <c r="T24" s="137">
        <f t="shared" si="3"/>
        <v>0</v>
      </c>
    </row>
    <row r="25" spans="1:20" ht="24" customHeight="1">
      <c r="A25" s="5" t="s">
        <v>207</v>
      </c>
      <c r="C25" s="46">
        <v>14</v>
      </c>
      <c r="E25" s="26">
        <f>12572-31620</f>
        <v>-19048</v>
      </c>
      <c r="F25" s="25"/>
      <c r="G25" s="26">
        <f>3489-7555</f>
        <v>-4066</v>
      </c>
      <c r="H25" s="25"/>
      <c r="I25" s="26">
        <f>11841-31620</f>
        <v>-19779</v>
      </c>
      <c r="J25" s="25"/>
      <c r="K25" s="26">
        <f>4382-7554</f>
        <v>-3172</v>
      </c>
      <c r="M25" s="133">
        <v>-14012</v>
      </c>
      <c r="N25" s="137">
        <f t="shared" si="0"/>
        <v>0</v>
      </c>
      <c r="O25" s="133">
        <v>459</v>
      </c>
      <c r="P25" s="137">
        <f t="shared" si="1"/>
        <v>0</v>
      </c>
      <c r="Q25" s="134">
        <v>-12157</v>
      </c>
      <c r="R25" s="137">
        <f t="shared" si="2"/>
        <v>0</v>
      </c>
      <c r="S25" s="134">
        <v>459</v>
      </c>
      <c r="T25" s="137">
        <f t="shared" si="3"/>
        <v>0</v>
      </c>
    </row>
    <row r="26" spans="1:20" ht="24" customHeight="1">
      <c r="A26" s="12" t="s">
        <v>159</v>
      </c>
      <c r="C26" s="48"/>
      <c r="E26" s="32">
        <f>SUM(E24:E25)</f>
        <v>80452</v>
      </c>
      <c r="F26" s="25"/>
      <c r="G26" s="32">
        <f>SUM(G24:G25)</f>
        <v>32300</v>
      </c>
      <c r="H26" s="25"/>
      <c r="I26" s="32">
        <f>SUM(I24:I25)</f>
        <v>83054</v>
      </c>
      <c r="J26" s="25"/>
      <c r="K26" s="32">
        <f>SUM(K24:K25)</f>
        <v>29484</v>
      </c>
      <c r="M26" s="136">
        <v>56867</v>
      </c>
      <c r="N26" s="137">
        <f t="shared" si="0"/>
        <v>0</v>
      </c>
      <c r="O26" s="136">
        <v>6212</v>
      </c>
      <c r="P26" s="137">
        <f t="shared" si="1"/>
        <v>0</v>
      </c>
      <c r="Q26" s="136">
        <v>52623</v>
      </c>
      <c r="R26" s="137">
        <f t="shared" si="2"/>
        <v>0</v>
      </c>
      <c r="S26" s="136">
        <v>7658</v>
      </c>
      <c r="T26" s="137">
        <f t="shared" si="3"/>
        <v>0</v>
      </c>
    </row>
    <row r="27" spans="1:20" ht="24" customHeight="1">
      <c r="A27" s="12"/>
      <c r="C27" s="48"/>
      <c r="E27" s="37"/>
      <c r="F27" s="25"/>
      <c r="G27" s="37"/>
      <c r="H27" s="25"/>
      <c r="I27" s="37"/>
      <c r="J27" s="25"/>
      <c r="K27" s="37"/>
      <c r="M27" s="138"/>
      <c r="N27" s="133"/>
      <c r="O27" s="138"/>
      <c r="P27" s="133"/>
      <c r="Q27" s="138"/>
      <c r="R27" s="133"/>
      <c r="S27" s="138"/>
    </row>
    <row r="28" spans="1:20" ht="24" customHeight="1">
      <c r="A28" s="12" t="s">
        <v>122</v>
      </c>
      <c r="C28" s="48"/>
      <c r="E28" s="37"/>
      <c r="F28" s="25"/>
      <c r="G28" s="37"/>
      <c r="H28" s="25"/>
      <c r="I28" s="37"/>
      <c r="J28" s="25"/>
      <c r="K28" s="37"/>
      <c r="M28" s="138"/>
      <c r="N28" s="133"/>
      <c r="O28" s="138"/>
      <c r="P28" s="133"/>
      <c r="Q28" s="138"/>
      <c r="R28" s="133"/>
      <c r="S28" s="138"/>
    </row>
    <row r="29" spans="1:20" ht="24" customHeight="1">
      <c r="A29" s="34" t="s">
        <v>123</v>
      </c>
      <c r="C29" s="48"/>
      <c r="E29" s="37"/>
      <c r="F29" s="25"/>
      <c r="G29" s="37"/>
      <c r="H29" s="25"/>
      <c r="I29" s="37"/>
      <c r="J29" s="25"/>
      <c r="K29" s="37"/>
      <c r="M29" s="133">
        <v>1262</v>
      </c>
      <c r="N29" s="137">
        <f>M29+E31-E89</f>
        <v>0</v>
      </c>
      <c r="O29" s="133">
        <v>339</v>
      </c>
      <c r="P29" s="137">
        <f>O29+G31-G89</f>
        <v>0</v>
      </c>
      <c r="Q29" s="135">
        <v>0</v>
      </c>
      <c r="R29" s="137">
        <f>Q29+I31-I89</f>
        <v>0</v>
      </c>
      <c r="S29" s="135">
        <v>0</v>
      </c>
      <c r="T29" s="137">
        <f>S29+K31-K89</f>
        <v>0</v>
      </c>
    </row>
    <row r="30" spans="1:20" ht="24" customHeight="1">
      <c r="A30" s="5" t="s">
        <v>124</v>
      </c>
      <c r="C30" s="48"/>
      <c r="E30" s="37"/>
      <c r="F30" s="25"/>
      <c r="G30" s="37"/>
      <c r="H30" s="25"/>
      <c r="I30" s="37"/>
      <c r="J30" s="25"/>
      <c r="K30" s="37"/>
      <c r="M30" s="138"/>
      <c r="N30" s="133"/>
      <c r="O30" s="138"/>
      <c r="P30" s="133"/>
      <c r="Q30" s="138"/>
      <c r="R30" s="133"/>
      <c r="S30" s="138"/>
    </row>
    <row r="31" spans="1:20" ht="24" customHeight="1">
      <c r="A31" s="5" t="s">
        <v>125</v>
      </c>
      <c r="C31" s="48"/>
      <c r="E31" s="26">
        <v>-796</v>
      </c>
      <c r="F31" s="127"/>
      <c r="G31" s="26">
        <v>-556</v>
      </c>
      <c r="H31" s="127"/>
      <c r="I31" s="26">
        <v>0</v>
      </c>
      <c r="J31" s="127"/>
      <c r="K31" s="26">
        <v>0</v>
      </c>
      <c r="M31" s="134">
        <v>1526</v>
      </c>
      <c r="N31" s="137"/>
      <c r="O31" s="134">
        <v>0</v>
      </c>
      <c r="P31" s="133"/>
      <c r="Q31" s="134">
        <v>1526</v>
      </c>
      <c r="R31" s="133"/>
      <c r="S31" s="134">
        <v>0</v>
      </c>
    </row>
    <row r="32" spans="1:20" ht="24" customHeight="1">
      <c r="A32" s="12" t="s">
        <v>82</v>
      </c>
      <c r="E32" s="26">
        <f>SUM(E31:E31)</f>
        <v>-796</v>
      </c>
      <c r="F32" s="25"/>
      <c r="G32" s="26">
        <f>SUM(G31:G31)</f>
        <v>-556</v>
      </c>
      <c r="H32" s="25"/>
      <c r="I32" s="26">
        <f>SUM(I31:I31)</f>
        <v>0</v>
      </c>
      <c r="J32" s="25"/>
      <c r="K32" s="26">
        <f>SUM(K31:K31)</f>
        <v>0</v>
      </c>
      <c r="M32" s="134">
        <v>2788</v>
      </c>
      <c r="N32" s="137">
        <f>M32+E32-E93</f>
        <v>0</v>
      </c>
      <c r="O32" s="134">
        <v>339</v>
      </c>
      <c r="P32" s="137">
        <f>O32+G32-G93</f>
        <v>0</v>
      </c>
      <c r="Q32" s="134">
        <v>1526</v>
      </c>
      <c r="R32" s="137">
        <f>Q32+I32-I93</f>
        <v>0</v>
      </c>
      <c r="S32" s="134">
        <v>0</v>
      </c>
      <c r="T32" s="137">
        <f>S32+K32-K93</f>
        <v>0</v>
      </c>
    </row>
    <row r="33" spans="1:20" ht="24" customHeight="1">
      <c r="E33" s="25"/>
      <c r="F33" s="25"/>
      <c r="G33" s="25"/>
      <c r="H33" s="25"/>
      <c r="I33" s="25"/>
      <c r="J33" s="25"/>
      <c r="K33" s="25"/>
      <c r="M33" s="138"/>
      <c r="N33" s="137"/>
      <c r="O33" s="138"/>
      <c r="P33" s="133"/>
      <c r="Q33" s="138"/>
      <c r="R33" s="133"/>
      <c r="S33" s="138"/>
    </row>
    <row r="34" spans="1:20" ht="24" customHeight="1" thickBot="1">
      <c r="A34" s="12" t="s">
        <v>83</v>
      </c>
      <c r="E34" s="38">
        <f>E26+E32</f>
        <v>79656</v>
      </c>
      <c r="F34" s="25"/>
      <c r="G34" s="38">
        <f>G26+G32</f>
        <v>31744</v>
      </c>
      <c r="H34" s="25"/>
      <c r="I34" s="38">
        <f>I26+I32</f>
        <v>83054</v>
      </c>
      <c r="J34" s="25"/>
      <c r="K34" s="38">
        <f>K26+K32</f>
        <v>29484</v>
      </c>
      <c r="M34" s="139">
        <v>59655</v>
      </c>
      <c r="N34" s="137">
        <f>M34+E34-E95</f>
        <v>0</v>
      </c>
      <c r="O34" s="139">
        <v>6551</v>
      </c>
      <c r="P34" s="137">
        <f>O34+G34-G95</f>
        <v>0</v>
      </c>
      <c r="Q34" s="139">
        <v>54149</v>
      </c>
      <c r="R34" s="137">
        <f>Q34+I34-I95</f>
        <v>0</v>
      </c>
      <c r="S34" s="139">
        <v>7658</v>
      </c>
      <c r="T34" s="137">
        <f>S34+K34-K95</f>
        <v>0</v>
      </c>
    </row>
    <row r="35" spans="1:20" ht="24" customHeight="1" thickTop="1">
      <c r="A35" s="12"/>
      <c r="E35" s="25"/>
      <c r="F35" s="25"/>
      <c r="G35" s="25"/>
      <c r="H35" s="25"/>
      <c r="I35" s="25"/>
      <c r="J35" s="25"/>
      <c r="K35" s="25"/>
    </row>
    <row r="36" spans="1:20" ht="24" customHeight="1">
      <c r="A36" s="71" t="s">
        <v>172</v>
      </c>
      <c r="E36" s="25"/>
      <c r="F36" s="25"/>
      <c r="G36" s="25"/>
      <c r="H36" s="25"/>
      <c r="I36" s="25"/>
      <c r="J36" s="25"/>
      <c r="K36" s="25"/>
      <c r="M36" s="133"/>
      <c r="N36" s="133"/>
      <c r="O36" s="133"/>
      <c r="P36" s="133"/>
      <c r="Q36" s="133"/>
      <c r="R36" s="133"/>
      <c r="S36" s="133"/>
    </row>
    <row r="37" spans="1:20" ht="24" customHeight="1">
      <c r="B37" s="23"/>
      <c r="C37" s="23"/>
      <c r="K37" s="59" t="s">
        <v>139</v>
      </c>
    </row>
    <row r="38" spans="1:20" ht="24" customHeight="1">
      <c r="A38" s="67" t="s">
        <v>180</v>
      </c>
      <c r="B38" s="9"/>
      <c r="C38" s="10"/>
      <c r="D38" s="10"/>
      <c r="E38" s="11"/>
      <c r="F38" s="9"/>
      <c r="G38" s="11"/>
      <c r="H38" s="9"/>
      <c r="I38" s="11"/>
      <c r="J38" s="9"/>
      <c r="K38" s="11"/>
    </row>
    <row r="39" spans="1:20" ht="24" customHeight="1">
      <c r="A39" s="108" t="s">
        <v>179</v>
      </c>
      <c r="B39" s="9"/>
      <c r="C39" s="10"/>
      <c r="D39" s="10"/>
      <c r="E39" s="11"/>
      <c r="F39" s="9"/>
      <c r="G39" s="11"/>
      <c r="H39" s="9"/>
      <c r="I39" s="11"/>
      <c r="J39" s="9"/>
      <c r="K39" s="11"/>
    </row>
    <row r="40" spans="1:20" ht="24" customHeight="1">
      <c r="A40" s="58" t="s">
        <v>79</v>
      </c>
      <c r="B40" s="9"/>
      <c r="C40" s="10"/>
      <c r="D40" s="10"/>
      <c r="E40" s="11"/>
      <c r="F40" s="9"/>
      <c r="G40" s="11"/>
      <c r="H40" s="9"/>
      <c r="I40" s="11"/>
      <c r="J40" s="9"/>
      <c r="K40" s="11"/>
    </row>
    <row r="41" spans="1:20" ht="24" customHeight="1">
      <c r="A41" s="58" t="s">
        <v>166</v>
      </c>
      <c r="B41" s="9"/>
      <c r="C41" s="10"/>
      <c r="D41" s="10"/>
      <c r="E41" s="11"/>
      <c r="F41" s="9"/>
      <c r="G41" s="11"/>
      <c r="H41" s="9"/>
      <c r="I41" s="11"/>
      <c r="J41" s="9"/>
      <c r="K41" s="11"/>
    </row>
    <row r="42" spans="1:20" ht="24" customHeight="1">
      <c r="B42" s="149" t="s">
        <v>94</v>
      </c>
      <c r="C42" s="149"/>
      <c r="D42" s="149"/>
      <c r="E42" s="149"/>
      <c r="F42" s="149"/>
      <c r="G42" s="149"/>
      <c r="H42" s="149"/>
      <c r="I42" s="149"/>
      <c r="J42" s="149"/>
      <c r="K42" s="149"/>
    </row>
    <row r="43" spans="1:20" ht="24" customHeight="1">
      <c r="A43" s="12"/>
      <c r="B43" s="12"/>
      <c r="C43" s="13"/>
      <c r="D43" s="13"/>
      <c r="E43" s="148" t="s">
        <v>0</v>
      </c>
      <c r="F43" s="148"/>
      <c r="G43" s="148"/>
      <c r="H43" s="14"/>
      <c r="I43" s="148" t="s">
        <v>31</v>
      </c>
      <c r="J43" s="148"/>
      <c r="K43" s="148"/>
    </row>
    <row r="44" spans="1:20" ht="24" customHeight="1">
      <c r="C44" s="15" t="s">
        <v>1</v>
      </c>
      <c r="D44" s="24"/>
      <c r="E44" s="16">
        <v>2563</v>
      </c>
      <c r="F44" s="16"/>
      <c r="G44" s="16">
        <v>2562</v>
      </c>
      <c r="H44" s="17"/>
      <c r="I44" s="16">
        <v>2563</v>
      </c>
      <c r="J44" s="16"/>
      <c r="K44" s="16">
        <v>2562</v>
      </c>
    </row>
    <row r="45" spans="1:20" ht="24" customHeight="1">
      <c r="A45" s="12" t="s">
        <v>194</v>
      </c>
      <c r="E45" s="25"/>
      <c r="F45" s="25"/>
      <c r="G45" s="25"/>
      <c r="H45" s="25"/>
      <c r="I45" s="25"/>
      <c r="J45" s="25"/>
      <c r="K45" s="25"/>
    </row>
    <row r="46" spans="1:20" ht="24" customHeight="1" thickBot="1">
      <c r="A46" s="5" t="s">
        <v>78</v>
      </c>
      <c r="E46" s="25">
        <f>E48-E47</f>
        <v>80435</v>
      </c>
      <c r="F46" s="25"/>
      <c r="G46" s="25">
        <f>G48-G47</f>
        <v>32285</v>
      </c>
      <c r="H46" s="25"/>
      <c r="I46" s="38">
        <f>SUM(I26)</f>
        <v>83054</v>
      </c>
      <c r="J46" s="25"/>
      <c r="K46" s="38">
        <f>SUM(K26)</f>
        <v>29484</v>
      </c>
      <c r="M46" s="126"/>
      <c r="N46" s="126"/>
    </row>
    <row r="47" spans="1:20" ht="24" customHeight="1" thickTop="1">
      <c r="A47" s="5" t="s">
        <v>126</v>
      </c>
      <c r="E47" s="25">
        <v>17</v>
      </c>
      <c r="F47" s="36"/>
      <c r="G47" s="25">
        <v>15</v>
      </c>
      <c r="H47" s="25"/>
      <c r="I47" s="3"/>
      <c r="J47" s="25"/>
      <c r="K47" s="3"/>
      <c r="M47" s="126"/>
      <c r="N47" s="126"/>
    </row>
    <row r="48" spans="1:20" ht="24" customHeight="1" thickBot="1">
      <c r="A48" s="12"/>
      <c r="E48" s="54">
        <f>E26</f>
        <v>80452</v>
      </c>
      <c r="G48" s="54">
        <f>G26</f>
        <v>32300</v>
      </c>
      <c r="H48" s="36"/>
      <c r="I48" s="25"/>
      <c r="J48" s="25"/>
      <c r="K48" s="25"/>
      <c r="M48" s="126"/>
      <c r="N48" s="126"/>
    </row>
    <row r="49" spans="1:14" ht="24" customHeight="1" thickTop="1">
      <c r="A49" s="12"/>
      <c r="E49" s="25"/>
      <c r="F49" s="25"/>
      <c r="G49" s="25"/>
      <c r="H49" s="25"/>
      <c r="I49" s="25"/>
      <c r="J49" s="25"/>
      <c r="K49" s="25"/>
    </row>
    <row r="50" spans="1:14" ht="24" customHeight="1">
      <c r="A50" s="12" t="s">
        <v>84</v>
      </c>
      <c r="E50" s="25"/>
      <c r="F50" s="25"/>
      <c r="G50" s="25"/>
      <c r="H50" s="25"/>
      <c r="I50" s="25"/>
      <c r="J50" s="25"/>
      <c r="K50" s="25"/>
    </row>
    <row r="51" spans="1:14" ht="24" customHeight="1" thickBot="1">
      <c r="A51" s="5" t="s">
        <v>78</v>
      </c>
      <c r="E51" s="25">
        <f>E53-E52</f>
        <v>79636</v>
      </c>
      <c r="F51" s="25"/>
      <c r="G51" s="25">
        <f>G53-G52</f>
        <v>31728</v>
      </c>
      <c r="H51" s="25"/>
      <c r="I51" s="38">
        <f>I34</f>
        <v>83054</v>
      </c>
      <c r="J51" s="25"/>
      <c r="K51" s="38">
        <f>K34</f>
        <v>29484</v>
      </c>
      <c r="M51" s="126"/>
      <c r="N51" s="126"/>
    </row>
    <row r="52" spans="1:14" ht="24" customHeight="1" thickTop="1">
      <c r="A52" s="5" t="s">
        <v>126</v>
      </c>
      <c r="E52" s="25">
        <v>20</v>
      </c>
      <c r="F52" s="36"/>
      <c r="G52" s="25">
        <v>16</v>
      </c>
      <c r="H52" s="25"/>
      <c r="I52" s="3"/>
      <c r="J52" s="25"/>
      <c r="K52" s="3"/>
      <c r="M52" s="126"/>
      <c r="N52" s="126"/>
    </row>
    <row r="53" spans="1:14" ht="24" customHeight="1" thickBot="1">
      <c r="E53" s="54">
        <f>E34</f>
        <v>79656</v>
      </c>
      <c r="G53" s="54">
        <f>G34</f>
        <v>31744</v>
      </c>
      <c r="H53" s="36"/>
      <c r="I53" s="25"/>
      <c r="J53" s="25"/>
      <c r="K53" s="25"/>
      <c r="M53" s="126"/>
      <c r="N53" s="126"/>
    </row>
    <row r="54" spans="1:14" ht="24" customHeight="1" thickTop="1">
      <c r="A54" s="12"/>
      <c r="E54" s="5"/>
      <c r="G54" s="5"/>
      <c r="H54" s="36"/>
      <c r="I54" s="25"/>
      <c r="J54" s="25"/>
      <c r="K54" s="25"/>
      <c r="M54" s="23"/>
    </row>
    <row r="55" spans="1:14" ht="24" customHeight="1">
      <c r="A55" s="12" t="s">
        <v>95</v>
      </c>
      <c r="C55" s="19">
        <v>15</v>
      </c>
      <c r="E55" s="22"/>
      <c r="G55" s="22"/>
      <c r="I55" s="22"/>
      <c r="K55" s="22"/>
      <c r="M55" s="23"/>
      <c r="N55" s="23"/>
    </row>
    <row r="56" spans="1:14" ht="24" customHeight="1" thickBot="1">
      <c r="A56" s="5" t="s">
        <v>195</v>
      </c>
      <c r="E56" s="44">
        <f>E46/800000</f>
        <v>0.10054375</v>
      </c>
      <c r="F56" s="28"/>
      <c r="G56" s="44">
        <f>G46/800000</f>
        <v>4.0356250000000003E-2</v>
      </c>
      <c r="H56" s="28"/>
      <c r="I56" s="44">
        <f>I46/800000</f>
        <v>0.10381749999999999</v>
      </c>
      <c r="J56" s="28"/>
      <c r="K56" s="44">
        <f>K46/800000</f>
        <v>3.6854999999999999E-2</v>
      </c>
      <c r="M56" s="50"/>
      <c r="N56" s="50"/>
    </row>
    <row r="57" spans="1:14" ht="24" customHeight="1" thickTop="1">
      <c r="E57" s="50"/>
      <c r="F57" s="51"/>
      <c r="G57" s="50"/>
      <c r="H57" s="51"/>
      <c r="I57" s="50"/>
      <c r="J57" s="51"/>
      <c r="K57" s="50"/>
      <c r="M57" s="23"/>
      <c r="N57" s="23"/>
    </row>
    <row r="58" spans="1:14" ht="24" customHeight="1">
      <c r="A58" s="71" t="s">
        <v>172</v>
      </c>
      <c r="E58" s="22"/>
      <c r="G58" s="22"/>
      <c r="I58" s="22"/>
      <c r="K58" s="22"/>
      <c r="M58" s="23"/>
      <c r="N58" s="23"/>
    </row>
    <row r="59" spans="1:14" ht="24" customHeight="1">
      <c r="B59" s="23"/>
      <c r="C59" s="23"/>
      <c r="K59" s="59" t="s">
        <v>139</v>
      </c>
      <c r="M59" s="23"/>
      <c r="N59" s="23"/>
    </row>
    <row r="60" spans="1:14" ht="24" customHeight="1">
      <c r="A60" s="67" t="s">
        <v>180</v>
      </c>
      <c r="B60" s="9"/>
      <c r="C60" s="10"/>
      <c r="D60" s="10"/>
      <c r="E60" s="11"/>
      <c r="F60" s="9"/>
      <c r="G60" s="11"/>
      <c r="H60" s="9"/>
      <c r="I60" s="11"/>
      <c r="J60" s="9"/>
      <c r="K60" s="11"/>
      <c r="M60" s="23"/>
      <c r="N60" s="23"/>
    </row>
    <row r="61" spans="1:14" ht="24" customHeight="1">
      <c r="A61" s="108" t="s">
        <v>179</v>
      </c>
      <c r="B61" s="9"/>
      <c r="C61" s="10"/>
      <c r="D61" s="10"/>
      <c r="E61" s="11"/>
      <c r="F61" s="9"/>
      <c r="G61" s="11"/>
      <c r="H61" s="9"/>
      <c r="I61" s="11"/>
      <c r="J61" s="9"/>
      <c r="K61" s="11"/>
      <c r="M61" s="23"/>
      <c r="N61" s="23"/>
    </row>
    <row r="62" spans="1:14" ht="24" customHeight="1">
      <c r="A62" s="60" t="s">
        <v>113</v>
      </c>
      <c r="B62" s="9"/>
      <c r="C62" s="10"/>
      <c r="D62" s="10"/>
      <c r="E62" s="11"/>
      <c r="F62" s="9"/>
      <c r="G62" s="11"/>
      <c r="H62" s="9"/>
      <c r="I62" s="11"/>
      <c r="J62" s="9"/>
      <c r="K62" s="11"/>
      <c r="M62" s="23"/>
      <c r="N62" s="23"/>
    </row>
    <row r="63" spans="1:14" ht="24" customHeight="1">
      <c r="A63" s="58" t="s">
        <v>163</v>
      </c>
      <c r="B63" s="9"/>
      <c r="C63" s="10"/>
      <c r="D63" s="10"/>
      <c r="E63" s="11"/>
      <c r="F63" s="9"/>
      <c r="G63" s="11"/>
      <c r="H63" s="9"/>
      <c r="I63" s="11"/>
      <c r="J63" s="9"/>
      <c r="K63" s="11"/>
      <c r="M63" s="23"/>
      <c r="N63" s="23"/>
    </row>
    <row r="64" spans="1:14" ht="24" customHeight="1">
      <c r="B64" s="149" t="s">
        <v>94</v>
      </c>
      <c r="C64" s="149"/>
      <c r="D64" s="149"/>
      <c r="E64" s="149"/>
      <c r="F64" s="149"/>
      <c r="G64" s="149"/>
      <c r="H64" s="149"/>
      <c r="I64" s="149"/>
      <c r="J64" s="149"/>
      <c r="K64" s="149"/>
      <c r="M64" s="147"/>
      <c r="N64" s="147"/>
    </row>
    <row r="65" spans="1:19" s="12" customFormat="1" ht="24" customHeight="1">
      <c r="C65" s="13"/>
      <c r="D65" s="13"/>
      <c r="E65" s="148" t="s">
        <v>0</v>
      </c>
      <c r="F65" s="148"/>
      <c r="G65" s="148"/>
      <c r="H65" s="14"/>
      <c r="I65" s="148" t="s">
        <v>31</v>
      </c>
      <c r="J65" s="148"/>
      <c r="K65" s="148"/>
      <c r="M65" s="142"/>
      <c r="N65" s="142"/>
    </row>
    <row r="66" spans="1:19" ht="24" customHeight="1">
      <c r="C66" s="15" t="s">
        <v>1</v>
      </c>
      <c r="D66" s="24"/>
      <c r="E66" s="16">
        <v>2563</v>
      </c>
      <c r="F66" s="16"/>
      <c r="G66" s="16">
        <v>2562</v>
      </c>
      <c r="H66" s="17"/>
      <c r="I66" s="16">
        <v>2563</v>
      </c>
      <c r="J66" s="16"/>
      <c r="K66" s="16">
        <v>2562</v>
      </c>
      <c r="M66" s="143"/>
      <c r="N66" s="143"/>
    </row>
    <row r="67" spans="1:19" ht="24" customHeight="1">
      <c r="A67" s="12" t="s">
        <v>76</v>
      </c>
      <c r="C67" s="49"/>
      <c r="D67" s="24"/>
      <c r="E67" s="16"/>
      <c r="F67" s="16"/>
      <c r="G67" s="16"/>
      <c r="H67" s="17"/>
      <c r="I67" s="16"/>
      <c r="J67" s="16"/>
      <c r="K67" s="18"/>
    </row>
    <row r="68" spans="1:19" ht="24" customHeight="1">
      <c r="A68" s="12" t="s">
        <v>20</v>
      </c>
      <c r="C68" s="48"/>
    </row>
    <row r="69" spans="1:19" ht="24" customHeight="1">
      <c r="A69" s="5" t="s">
        <v>45</v>
      </c>
      <c r="C69" s="48"/>
      <c r="E69" s="25">
        <v>1426996</v>
      </c>
      <c r="F69" s="36"/>
      <c r="G69" s="25">
        <v>1009639</v>
      </c>
      <c r="H69" s="36"/>
      <c r="I69" s="25">
        <v>1399891</v>
      </c>
      <c r="J69" s="36"/>
      <c r="K69" s="25">
        <v>985110</v>
      </c>
      <c r="O69" s="126"/>
      <c r="P69" s="126"/>
      <c r="Q69" s="63"/>
      <c r="S69" s="63"/>
    </row>
    <row r="70" spans="1:19" ht="24" customHeight="1">
      <c r="A70" s="5" t="s">
        <v>46</v>
      </c>
      <c r="C70" s="48"/>
      <c r="E70" s="25">
        <v>14507</v>
      </c>
      <c r="F70" s="36"/>
      <c r="G70" s="25">
        <f>10631+3410</f>
        <v>14041</v>
      </c>
      <c r="H70" s="36"/>
      <c r="I70" s="25">
        <v>17342</v>
      </c>
      <c r="J70" s="36"/>
      <c r="K70" s="25">
        <f>13971+3410</f>
        <v>17381</v>
      </c>
      <c r="O70" s="126"/>
      <c r="P70" s="126"/>
    </row>
    <row r="71" spans="1:19" ht="24" customHeight="1">
      <c r="A71" s="5" t="s">
        <v>147</v>
      </c>
      <c r="C71" s="48"/>
      <c r="E71" s="25">
        <v>0</v>
      </c>
      <c r="F71" s="36"/>
      <c r="G71" s="25">
        <v>8567</v>
      </c>
      <c r="H71" s="36"/>
      <c r="I71" s="25">
        <v>0</v>
      </c>
      <c r="J71" s="36"/>
      <c r="K71" s="25">
        <v>8811</v>
      </c>
      <c r="M71" s="23"/>
      <c r="N71" s="23"/>
      <c r="O71" s="23"/>
      <c r="P71" s="23"/>
      <c r="Q71" s="23"/>
      <c r="R71" s="23"/>
      <c r="S71" s="23"/>
    </row>
    <row r="72" spans="1:19" ht="24" customHeight="1">
      <c r="A72" s="5" t="s">
        <v>111</v>
      </c>
      <c r="C72" s="48"/>
      <c r="E72" s="25">
        <f>8785+200</f>
        <v>8985</v>
      </c>
      <c r="F72" s="36"/>
      <c r="G72" s="25">
        <f>14893-3410</f>
        <v>11483</v>
      </c>
      <c r="H72" s="36"/>
      <c r="I72" s="25">
        <f>13422+200</f>
        <v>13622</v>
      </c>
      <c r="J72" s="36"/>
      <c r="K72" s="25">
        <f>15441-3410</f>
        <v>12031</v>
      </c>
      <c r="M72" s="23"/>
      <c r="N72" s="23"/>
      <c r="O72" s="23"/>
      <c r="P72" s="23"/>
      <c r="Q72" s="23"/>
      <c r="R72" s="23"/>
      <c r="S72" s="23"/>
    </row>
    <row r="73" spans="1:19" ht="24" customHeight="1">
      <c r="A73" s="12" t="s">
        <v>21</v>
      </c>
      <c r="C73" s="48"/>
      <c r="E73" s="32">
        <f>SUM(E69:E72)</f>
        <v>1450488</v>
      </c>
      <c r="F73" s="36"/>
      <c r="G73" s="32">
        <f>SUM(G69:G72)</f>
        <v>1043730</v>
      </c>
      <c r="H73" s="36"/>
      <c r="I73" s="32">
        <f>SUM(I69:I72)</f>
        <v>1430855</v>
      </c>
      <c r="J73" s="36"/>
      <c r="K73" s="32">
        <f>SUM(K69:K72)</f>
        <v>1023333</v>
      </c>
      <c r="M73" s="133"/>
      <c r="N73" s="133"/>
      <c r="O73" s="23"/>
      <c r="P73" s="23"/>
      <c r="Q73" s="23"/>
      <c r="R73" s="23"/>
      <c r="S73" s="23"/>
    </row>
    <row r="74" spans="1:19" ht="24" customHeight="1">
      <c r="A74" s="12" t="s">
        <v>22</v>
      </c>
      <c r="C74" s="48"/>
      <c r="E74" s="36"/>
      <c r="F74" s="36"/>
      <c r="G74" s="36"/>
      <c r="H74" s="36"/>
      <c r="I74" s="36"/>
      <c r="J74" s="36"/>
      <c r="K74" s="36"/>
      <c r="M74" s="23"/>
      <c r="N74" s="23"/>
      <c r="O74" s="23"/>
      <c r="P74" s="23"/>
      <c r="Q74" s="23"/>
      <c r="R74" s="23"/>
      <c r="S74" s="23"/>
    </row>
    <row r="75" spans="1:19" ht="24" customHeight="1">
      <c r="A75" s="5" t="s">
        <v>106</v>
      </c>
      <c r="C75" s="48"/>
      <c r="E75" s="27">
        <f>1101741+200</f>
        <v>1101941</v>
      </c>
      <c r="F75" s="36"/>
      <c r="G75" s="27">
        <v>852566</v>
      </c>
      <c r="H75" s="36"/>
      <c r="I75" s="27">
        <f>1085267+200</f>
        <v>1085467</v>
      </c>
      <c r="J75" s="36"/>
      <c r="K75" s="27">
        <v>834938</v>
      </c>
      <c r="M75" s="23"/>
      <c r="N75" s="23"/>
      <c r="O75" s="23"/>
      <c r="P75" s="23"/>
      <c r="Q75" s="23"/>
      <c r="R75" s="23"/>
      <c r="S75" s="23"/>
    </row>
    <row r="76" spans="1:19" ht="24" customHeight="1">
      <c r="A76" s="5" t="s">
        <v>105</v>
      </c>
      <c r="C76" s="48"/>
      <c r="E76" s="27">
        <v>14075</v>
      </c>
      <c r="F76" s="36"/>
      <c r="G76" s="27">
        <v>9899</v>
      </c>
      <c r="H76" s="36"/>
      <c r="I76" s="27">
        <v>16910</v>
      </c>
      <c r="J76" s="36"/>
      <c r="K76" s="27">
        <v>13239</v>
      </c>
      <c r="M76" s="23"/>
      <c r="N76" s="23"/>
      <c r="O76" s="23"/>
      <c r="P76" s="23"/>
      <c r="Q76" s="23"/>
      <c r="R76" s="23"/>
      <c r="S76" s="23"/>
    </row>
    <row r="77" spans="1:19" s="126" customFormat="1" ht="24" customHeight="1">
      <c r="A77" s="126" t="s">
        <v>60</v>
      </c>
      <c r="C77" s="48"/>
      <c r="D77" s="114"/>
      <c r="E77" s="27">
        <v>116267</v>
      </c>
      <c r="F77" s="36"/>
      <c r="G77" s="27">
        <v>106172</v>
      </c>
      <c r="H77" s="36"/>
      <c r="I77" s="27">
        <v>113269</v>
      </c>
      <c r="J77" s="36"/>
      <c r="K77" s="27">
        <v>103994</v>
      </c>
      <c r="L77" s="126">
        <v>994</v>
      </c>
      <c r="M77" s="23"/>
      <c r="N77" s="23"/>
      <c r="O77" s="23"/>
      <c r="P77" s="23"/>
      <c r="Q77" s="23"/>
      <c r="R77" s="23"/>
      <c r="S77" s="23"/>
    </row>
    <row r="78" spans="1:19" ht="24" customHeight="1">
      <c r="A78" s="5" t="s">
        <v>160</v>
      </c>
      <c r="C78" s="48"/>
      <c r="E78" s="27">
        <f>9030+128</f>
        <v>9158</v>
      </c>
      <c r="F78" s="36"/>
      <c r="G78" s="27">
        <v>0</v>
      </c>
      <c r="H78" s="36"/>
      <c r="I78" s="27">
        <f>9035+128-1</f>
        <v>9162</v>
      </c>
      <c r="J78" s="36"/>
      <c r="K78" s="27">
        <v>0</v>
      </c>
      <c r="M78" s="23"/>
      <c r="N78" s="23"/>
      <c r="O78" s="23"/>
      <c r="P78" s="23"/>
      <c r="Q78" s="23"/>
      <c r="R78" s="23"/>
      <c r="S78" s="23"/>
    </row>
    <row r="79" spans="1:19" ht="24" customHeight="1">
      <c r="A79" s="12" t="s">
        <v>23</v>
      </c>
      <c r="C79" s="48"/>
      <c r="E79" s="32">
        <f>SUM(E75:E78)</f>
        <v>1241441</v>
      </c>
      <c r="F79" s="36"/>
      <c r="G79" s="32">
        <f>SUM(G75:G78)</f>
        <v>968637</v>
      </c>
      <c r="H79" s="36"/>
      <c r="I79" s="32">
        <f>SUM(I75:I78)</f>
        <v>1224808</v>
      </c>
      <c r="J79" s="36"/>
      <c r="K79" s="32">
        <f>SUM(K75:K78)</f>
        <v>952171</v>
      </c>
      <c r="M79" s="133"/>
      <c r="N79" s="133"/>
      <c r="O79" s="23"/>
      <c r="P79" s="23"/>
      <c r="Q79" s="23"/>
      <c r="R79" s="23"/>
      <c r="S79" s="23"/>
    </row>
    <row r="80" spans="1:19" ht="24" customHeight="1">
      <c r="A80" s="111" t="s">
        <v>181</v>
      </c>
      <c r="C80" s="48"/>
      <c r="E80" s="25">
        <f>SUM(E73-E79)</f>
        <v>209047</v>
      </c>
      <c r="F80" s="36"/>
      <c r="G80" s="25">
        <f>SUM(G73-G79)</f>
        <v>75093</v>
      </c>
      <c r="H80" s="36"/>
      <c r="I80" s="25">
        <f>SUM(I73-I79)</f>
        <v>206047</v>
      </c>
      <c r="J80" s="36"/>
      <c r="K80" s="25">
        <f>SUM(K73-K79)</f>
        <v>71162</v>
      </c>
      <c r="M80" s="133"/>
      <c r="N80" s="133"/>
      <c r="O80" s="23"/>
      <c r="P80" s="23"/>
      <c r="Q80" s="23"/>
      <c r="R80" s="23"/>
      <c r="S80" s="23"/>
    </row>
    <row r="81" spans="1:19" ht="24" customHeight="1">
      <c r="A81" s="110" t="s">
        <v>182</v>
      </c>
      <c r="C81" s="48"/>
      <c r="E81" s="26">
        <f>-39444+776</f>
        <v>-38668</v>
      </c>
      <c r="F81" s="25"/>
      <c r="G81" s="26">
        <v>-32974</v>
      </c>
      <c r="H81" s="25"/>
      <c r="I81" s="26">
        <f>-39210+776</f>
        <v>-38434</v>
      </c>
      <c r="J81" s="25"/>
      <c r="K81" s="26">
        <v>-31307</v>
      </c>
      <c r="M81" s="23"/>
      <c r="N81" s="23"/>
      <c r="O81" s="23"/>
      <c r="P81" s="23"/>
      <c r="Q81" s="23"/>
      <c r="R81" s="23"/>
      <c r="S81" s="23"/>
    </row>
    <row r="82" spans="1:19" ht="24" customHeight="1">
      <c r="A82" s="12" t="s">
        <v>193</v>
      </c>
      <c r="C82" s="48"/>
      <c r="E82" s="25">
        <f>SUM(E80:E81)</f>
        <v>170379</v>
      </c>
      <c r="F82" s="25"/>
      <c r="G82" s="25">
        <f>SUM(G80:G81)</f>
        <v>42119</v>
      </c>
      <c r="H82" s="25"/>
      <c r="I82" s="25">
        <f>SUM(I80:I81)</f>
        <v>167613</v>
      </c>
      <c r="J82" s="25"/>
      <c r="K82" s="25">
        <f>SUM(K80:K81)</f>
        <v>39855</v>
      </c>
      <c r="M82" s="133"/>
      <c r="N82" s="133"/>
      <c r="O82" s="23"/>
      <c r="P82" s="23"/>
      <c r="Q82" s="23"/>
      <c r="R82" s="23"/>
      <c r="S82" s="23"/>
    </row>
    <row r="83" spans="1:19" ht="24" customHeight="1">
      <c r="A83" s="5" t="s">
        <v>207</v>
      </c>
      <c r="C83" s="46">
        <v>14</v>
      </c>
      <c r="E83" s="26">
        <f>-1440-47215+8657+3435+3503</f>
        <v>-33060</v>
      </c>
      <c r="F83" s="25"/>
      <c r="G83" s="26">
        <v>-3607</v>
      </c>
      <c r="H83" s="25"/>
      <c r="I83" s="26">
        <f>-316-47215+8657+3435+3503</f>
        <v>-31936</v>
      </c>
      <c r="J83" s="25"/>
      <c r="K83" s="26">
        <v>-2713</v>
      </c>
      <c r="M83" s="23"/>
      <c r="N83" s="23"/>
      <c r="O83" s="23"/>
      <c r="P83" s="23"/>
      <c r="Q83" s="23"/>
      <c r="R83" s="23"/>
      <c r="S83" s="23"/>
    </row>
    <row r="84" spans="1:19" ht="24" customHeight="1">
      <c r="A84" s="12" t="s">
        <v>159</v>
      </c>
      <c r="C84" s="48"/>
      <c r="E84" s="32">
        <f>SUM(E82:E83)</f>
        <v>137319</v>
      </c>
      <c r="F84" s="25"/>
      <c r="G84" s="32">
        <f>SUM(G82:G83)</f>
        <v>38512</v>
      </c>
      <c r="H84" s="25"/>
      <c r="I84" s="32">
        <f>SUM(I82:I83)</f>
        <v>135677</v>
      </c>
      <c r="J84" s="25"/>
      <c r="K84" s="32">
        <f>SUM(K82:K83)</f>
        <v>37142</v>
      </c>
      <c r="M84" s="133"/>
      <c r="N84" s="133"/>
      <c r="O84" s="23"/>
      <c r="P84" s="23"/>
      <c r="Q84" s="23"/>
      <c r="R84" s="23"/>
      <c r="S84" s="23"/>
    </row>
    <row r="85" spans="1:19" ht="24" customHeight="1">
      <c r="A85" s="12"/>
      <c r="C85" s="48"/>
      <c r="E85" s="37"/>
      <c r="F85" s="25"/>
      <c r="G85" s="37"/>
      <c r="H85" s="25"/>
      <c r="I85" s="37"/>
      <c r="J85" s="25"/>
      <c r="K85" s="37"/>
      <c r="M85" s="23"/>
      <c r="N85" s="23"/>
      <c r="O85" s="23"/>
      <c r="P85" s="23"/>
      <c r="Q85" s="23"/>
      <c r="R85" s="23"/>
      <c r="S85" s="23"/>
    </row>
    <row r="86" spans="1:19" ht="24" customHeight="1">
      <c r="A86" s="12" t="s">
        <v>122</v>
      </c>
      <c r="C86" s="48"/>
      <c r="E86" s="37"/>
      <c r="F86" s="25"/>
      <c r="G86" s="37"/>
      <c r="H86" s="25"/>
      <c r="I86" s="37"/>
      <c r="J86" s="25"/>
      <c r="K86" s="37"/>
      <c r="M86" s="23"/>
      <c r="N86" s="23"/>
      <c r="O86" s="23"/>
      <c r="P86" s="23"/>
      <c r="Q86" s="23"/>
      <c r="R86" s="23"/>
      <c r="S86" s="23"/>
    </row>
    <row r="87" spans="1:19" s="120" customFormat="1" ht="24" customHeight="1">
      <c r="A87" s="128" t="s">
        <v>123</v>
      </c>
      <c r="C87" s="48"/>
      <c r="D87" s="114"/>
      <c r="E87" s="37"/>
      <c r="F87" s="121"/>
      <c r="G87" s="37"/>
      <c r="H87" s="121"/>
      <c r="I87" s="37"/>
      <c r="J87" s="121"/>
      <c r="K87" s="37"/>
      <c r="M87" s="23"/>
      <c r="N87" s="23"/>
      <c r="O87" s="23"/>
      <c r="P87" s="23"/>
      <c r="Q87" s="23"/>
      <c r="R87" s="23"/>
      <c r="S87" s="23"/>
    </row>
    <row r="88" spans="1:19" s="120" customFormat="1" ht="24" customHeight="1">
      <c r="A88" s="129" t="s">
        <v>124</v>
      </c>
      <c r="C88" s="48"/>
      <c r="D88" s="114"/>
      <c r="E88" s="37"/>
      <c r="F88" s="121"/>
      <c r="G88" s="37"/>
      <c r="H88" s="121"/>
      <c r="I88" s="37"/>
      <c r="J88" s="121"/>
      <c r="K88" s="37"/>
      <c r="M88" s="23"/>
      <c r="N88" s="23"/>
      <c r="O88" s="23"/>
      <c r="P88" s="23"/>
      <c r="Q88" s="23"/>
      <c r="R88" s="23"/>
      <c r="S88" s="23"/>
    </row>
    <row r="89" spans="1:19" s="120" customFormat="1" ht="24" customHeight="1">
      <c r="A89" s="129" t="s">
        <v>125</v>
      </c>
      <c r="C89" s="48"/>
      <c r="D89" s="114"/>
      <c r="E89" s="127">
        <v>466</v>
      </c>
      <c r="F89" s="121"/>
      <c r="G89" s="127">
        <v>-217</v>
      </c>
      <c r="H89" s="127"/>
      <c r="I89" s="125">
        <v>0</v>
      </c>
      <c r="J89" s="127"/>
      <c r="K89" s="127">
        <v>0</v>
      </c>
      <c r="M89" s="23"/>
      <c r="N89" s="23"/>
      <c r="O89" s="23"/>
      <c r="P89" s="23"/>
      <c r="Q89" s="23"/>
      <c r="R89" s="23"/>
      <c r="S89" s="23"/>
    </row>
    <row r="90" spans="1:19" ht="24" customHeight="1">
      <c r="A90" s="128" t="s">
        <v>186</v>
      </c>
      <c r="C90" s="48"/>
      <c r="E90" s="37"/>
      <c r="F90" s="25"/>
      <c r="G90" s="37"/>
      <c r="H90" s="25"/>
      <c r="I90" s="37"/>
      <c r="J90" s="25"/>
      <c r="K90" s="37"/>
      <c r="M90" s="23"/>
      <c r="N90" s="23"/>
      <c r="O90" s="23"/>
      <c r="P90" s="23"/>
      <c r="Q90" s="23"/>
      <c r="R90" s="23"/>
      <c r="S90" s="23"/>
    </row>
    <row r="91" spans="1:19" ht="24" customHeight="1">
      <c r="A91" s="129" t="s">
        <v>187</v>
      </c>
      <c r="C91" s="48"/>
      <c r="E91" s="37"/>
      <c r="F91" s="25"/>
      <c r="G91" s="37"/>
      <c r="H91" s="25"/>
      <c r="I91" s="37"/>
      <c r="J91" s="25"/>
      <c r="K91" s="37"/>
      <c r="M91" s="23"/>
      <c r="N91" s="23"/>
      <c r="O91" s="23"/>
      <c r="P91" s="23"/>
      <c r="Q91" s="23"/>
      <c r="R91" s="23"/>
      <c r="S91" s="23"/>
    </row>
    <row r="92" spans="1:19" ht="24" customHeight="1">
      <c r="A92" s="126" t="s">
        <v>188</v>
      </c>
      <c r="C92" s="48"/>
      <c r="E92" s="26">
        <v>1526</v>
      </c>
      <c r="F92" s="25"/>
      <c r="G92" s="26">
        <v>0</v>
      </c>
      <c r="H92" s="25"/>
      <c r="I92" s="26">
        <v>1526</v>
      </c>
      <c r="J92" s="25"/>
      <c r="K92" s="26">
        <v>0</v>
      </c>
      <c r="M92" s="23"/>
      <c r="N92" s="23"/>
      <c r="O92" s="23"/>
      <c r="P92" s="23"/>
      <c r="Q92" s="23"/>
      <c r="R92" s="23"/>
      <c r="S92" s="23"/>
    </row>
    <row r="93" spans="1:19" ht="24" customHeight="1">
      <c r="A93" s="12" t="s">
        <v>82</v>
      </c>
      <c r="E93" s="26">
        <f>SUM(E89:E92)</f>
        <v>1992</v>
      </c>
      <c r="F93" s="25"/>
      <c r="G93" s="26">
        <f>SUM(G89:G92)</f>
        <v>-217</v>
      </c>
      <c r="H93" s="25"/>
      <c r="I93" s="26">
        <f>SUM(I89:I92)</f>
        <v>1526</v>
      </c>
      <c r="J93" s="25"/>
      <c r="K93" s="26">
        <f>SUM(K89:K92)</f>
        <v>0</v>
      </c>
      <c r="M93" s="133"/>
      <c r="N93" s="133"/>
      <c r="O93" s="23"/>
      <c r="P93" s="23"/>
      <c r="Q93" s="23"/>
      <c r="R93" s="23"/>
      <c r="S93" s="23"/>
    </row>
    <row r="94" spans="1:19" ht="24" customHeight="1">
      <c r="E94" s="25"/>
      <c r="F94" s="25"/>
      <c r="G94" s="25"/>
      <c r="H94" s="25"/>
      <c r="I94" s="25"/>
      <c r="J94" s="25"/>
      <c r="K94" s="25"/>
      <c r="M94" s="23"/>
      <c r="N94" s="23"/>
      <c r="O94" s="23"/>
      <c r="P94" s="23"/>
      <c r="Q94" s="23"/>
      <c r="R94" s="23"/>
      <c r="S94" s="23"/>
    </row>
    <row r="95" spans="1:19" ht="24" customHeight="1" thickBot="1">
      <c r="A95" s="12" t="s">
        <v>83</v>
      </c>
      <c r="E95" s="38">
        <f>E84+E93</f>
        <v>139311</v>
      </c>
      <c r="F95" s="25"/>
      <c r="G95" s="38">
        <f>G84+G93</f>
        <v>38295</v>
      </c>
      <c r="H95" s="25"/>
      <c r="I95" s="38">
        <f>I84+I93</f>
        <v>137203</v>
      </c>
      <c r="J95" s="25"/>
      <c r="K95" s="38">
        <f>K84+K93</f>
        <v>37142</v>
      </c>
      <c r="M95" s="133"/>
      <c r="N95" s="133"/>
      <c r="O95" s="23"/>
      <c r="P95" s="23"/>
      <c r="Q95" s="23"/>
      <c r="R95" s="23"/>
      <c r="S95" s="23"/>
    </row>
    <row r="96" spans="1:19" ht="24" customHeight="1" thickTop="1">
      <c r="A96" s="12"/>
      <c r="E96" s="25"/>
      <c r="F96" s="25"/>
      <c r="G96" s="25"/>
      <c r="H96" s="25"/>
      <c r="I96" s="25"/>
      <c r="J96" s="25"/>
      <c r="K96" s="25"/>
      <c r="M96" s="23"/>
      <c r="N96" s="23"/>
      <c r="O96" s="23"/>
      <c r="P96" s="23"/>
      <c r="Q96" s="23"/>
      <c r="R96" s="23"/>
      <c r="S96" s="23"/>
    </row>
    <row r="97" spans="1:19" ht="24" customHeight="1">
      <c r="A97" s="71" t="s">
        <v>172</v>
      </c>
      <c r="E97" s="25"/>
      <c r="F97" s="25"/>
      <c r="G97" s="25"/>
      <c r="H97" s="25"/>
      <c r="I97" s="25"/>
      <c r="J97" s="25"/>
      <c r="K97" s="25"/>
      <c r="M97" s="23"/>
      <c r="N97" s="23"/>
      <c r="O97" s="23"/>
      <c r="P97" s="23"/>
      <c r="Q97" s="23"/>
      <c r="R97" s="23"/>
      <c r="S97" s="23"/>
    </row>
    <row r="98" spans="1:19" ht="24" customHeight="1">
      <c r="B98" s="23"/>
      <c r="C98" s="23"/>
      <c r="K98" s="59" t="s">
        <v>139</v>
      </c>
      <c r="M98" s="23"/>
      <c r="N98" s="23"/>
      <c r="O98" s="23"/>
      <c r="P98" s="23"/>
      <c r="Q98" s="23"/>
      <c r="R98" s="23"/>
      <c r="S98" s="23"/>
    </row>
    <row r="99" spans="1:19" ht="24" customHeight="1">
      <c r="A99" s="67" t="s">
        <v>180</v>
      </c>
      <c r="B99" s="9"/>
      <c r="C99" s="10"/>
      <c r="D99" s="10"/>
      <c r="E99" s="11"/>
      <c r="F99" s="9"/>
      <c r="G99" s="11"/>
      <c r="H99" s="9"/>
      <c r="I99" s="11"/>
      <c r="J99" s="9"/>
      <c r="K99" s="11"/>
      <c r="M99" s="23"/>
      <c r="N99" s="23"/>
      <c r="O99" s="23"/>
      <c r="P99" s="23"/>
      <c r="Q99" s="23"/>
      <c r="R99" s="23"/>
      <c r="S99" s="23"/>
    </row>
    <row r="100" spans="1:19" ht="24" customHeight="1">
      <c r="A100" s="108" t="s">
        <v>179</v>
      </c>
      <c r="B100" s="9"/>
      <c r="C100" s="10"/>
      <c r="D100" s="10"/>
      <c r="E100" s="11"/>
      <c r="F100" s="9"/>
      <c r="G100" s="11"/>
      <c r="H100" s="9"/>
      <c r="I100" s="11"/>
      <c r="J100" s="9"/>
      <c r="K100" s="11"/>
      <c r="M100" s="23"/>
      <c r="N100" s="23"/>
      <c r="O100" s="23"/>
      <c r="P100" s="23"/>
      <c r="Q100" s="23"/>
      <c r="R100" s="23"/>
      <c r="S100" s="23"/>
    </row>
    <row r="101" spans="1:19" ht="24" customHeight="1">
      <c r="A101" s="60" t="s">
        <v>79</v>
      </c>
      <c r="B101" s="9"/>
      <c r="C101" s="10"/>
      <c r="D101" s="10"/>
      <c r="E101" s="11"/>
      <c r="F101" s="9"/>
      <c r="G101" s="11"/>
      <c r="H101" s="9"/>
      <c r="I101" s="11"/>
      <c r="J101" s="9"/>
      <c r="K101" s="11"/>
      <c r="M101" s="23"/>
      <c r="N101" s="23"/>
      <c r="O101" s="23"/>
      <c r="P101" s="23"/>
      <c r="Q101" s="23"/>
      <c r="R101" s="23"/>
      <c r="S101" s="23"/>
    </row>
    <row r="102" spans="1:19" ht="24" customHeight="1">
      <c r="A102" s="58" t="s">
        <v>163</v>
      </c>
      <c r="B102" s="9"/>
      <c r="C102" s="10"/>
      <c r="D102" s="10"/>
      <c r="E102" s="11"/>
      <c r="F102" s="9"/>
      <c r="G102" s="11"/>
      <c r="H102" s="9"/>
      <c r="I102" s="11"/>
      <c r="J102" s="9"/>
      <c r="K102" s="11"/>
      <c r="M102" s="23"/>
      <c r="N102" s="23"/>
      <c r="O102" s="23"/>
      <c r="P102" s="23"/>
      <c r="Q102" s="23"/>
      <c r="R102" s="23"/>
      <c r="S102" s="23"/>
    </row>
    <row r="103" spans="1:19" ht="24" customHeight="1">
      <c r="B103" s="149" t="s">
        <v>94</v>
      </c>
      <c r="C103" s="149"/>
      <c r="D103" s="149"/>
      <c r="E103" s="149"/>
      <c r="F103" s="149"/>
      <c r="G103" s="149"/>
      <c r="H103" s="149"/>
      <c r="I103" s="149"/>
      <c r="J103" s="149"/>
      <c r="K103" s="149"/>
      <c r="M103" s="23"/>
      <c r="N103" s="23"/>
      <c r="O103" s="23"/>
      <c r="P103" s="23"/>
      <c r="Q103" s="23"/>
      <c r="R103" s="23"/>
      <c r="S103" s="23"/>
    </row>
    <row r="104" spans="1:19" ht="24" customHeight="1">
      <c r="A104" s="12"/>
      <c r="B104" s="12"/>
      <c r="C104" s="13"/>
      <c r="D104" s="13"/>
      <c r="E104" s="148" t="s">
        <v>0</v>
      </c>
      <c r="F104" s="148"/>
      <c r="G104" s="148"/>
      <c r="H104" s="14"/>
      <c r="I104" s="148" t="s">
        <v>31</v>
      </c>
      <c r="J104" s="148"/>
      <c r="K104" s="148"/>
      <c r="M104" s="23"/>
      <c r="N104" s="23"/>
      <c r="O104" s="23"/>
      <c r="P104" s="23"/>
      <c r="Q104" s="23"/>
      <c r="R104" s="23"/>
      <c r="S104" s="23"/>
    </row>
    <row r="105" spans="1:19" ht="24" customHeight="1">
      <c r="C105" s="15" t="s">
        <v>1</v>
      </c>
      <c r="D105" s="24"/>
      <c r="E105" s="16">
        <v>2563</v>
      </c>
      <c r="F105" s="16"/>
      <c r="G105" s="16">
        <v>2562</v>
      </c>
      <c r="H105" s="17"/>
      <c r="I105" s="16">
        <v>2563</v>
      </c>
      <c r="J105" s="16"/>
      <c r="K105" s="16">
        <v>2562</v>
      </c>
      <c r="M105" s="23"/>
      <c r="N105" s="23"/>
      <c r="O105" s="23"/>
      <c r="P105" s="23"/>
      <c r="Q105" s="23"/>
      <c r="R105" s="23"/>
      <c r="S105" s="23"/>
    </row>
    <row r="106" spans="1:19" ht="24" customHeight="1">
      <c r="A106" s="12" t="s">
        <v>194</v>
      </c>
      <c r="E106" s="25"/>
      <c r="F106" s="25"/>
      <c r="G106" s="25"/>
      <c r="H106" s="25"/>
      <c r="I106" s="25"/>
      <c r="J106" s="25"/>
      <c r="K106" s="25"/>
      <c r="M106" s="23"/>
      <c r="N106" s="23"/>
      <c r="O106" s="23"/>
      <c r="P106" s="23"/>
      <c r="Q106" s="23"/>
      <c r="R106" s="23"/>
      <c r="S106" s="23"/>
    </row>
    <row r="107" spans="1:19" ht="24" customHeight="1" thickBot="1">
      <c r="A107" s="5" t="s">
        <v>78</v>
      </c>
      <c r="E107" s="25">
        <f>E109-E108</f>
        <v>137355</v>
      </c>
      <c r="F107" s="25"/>
      <c r="G107" s="25">
        <f>G109-G108</f>
        <v>38492</v>
      </c>
      <c r="H107" s="25"/>
      <c r="I107" s="38">
        <f>SUM(I84)</f>
        <v>135677</v>
      </c>
      <c r="K107" s="38">
        <f>SUM(K84)</f>
        <v>37142</v>
      </c>
      <c r="M107" s="23"/>
      <c r="N107" s="23"/>
      <c r="O107" s="23"/>
      <c r="P107" s="23"/>
      <c r="Q107" s="23"/>
      <c r="R107" s="23"/>
      <c r="S107" s="23"/>
    </row>
    <row r="108" spans="1:19" ht="24" customHeight="1" thickTop="1">
      <c r="A108" s="5" t="s">
        <v>126</v>
      </c>
      <c r="E108" s="25">
        <v>-36</v>
      </c>
      <c r="F108" s="36"/>
      <c r="G108" s="25">
        <v>20</v>
      </c>
      <c r="H108" s="25"/>
      <c r="I108" s="25"/>
      <c r="J108" s="25"/>
      <c r="K108" s="25"/>
      <c r="M108" s="23"/>
      <c r="N108" s="23"/>
      <c r="O108" s="23"/>
      <c r="P108" s="23"/>
      <c r="Q108" s="23"/>
      <c r="R108" s="23"/>
      <c r="S108" s="23"/>
    </row>
    <row r="109" spans="1:19" ht="24" customHeight="1" thickBot="1">
      <c r="E109" s="54">
        <f>E84</f>
        <v>137319</v>
      </c>
      <c r="G109" s="54">
        <f>G84</f>
        <v>38512</v>
      </c>
      <c r="H109" s="36"/>
      <c r="I109" s="25"/>
      <c r="J109" s="25"/>
      <c r="K109" s="25"/>
      <c r="M109" s="133"/>
      <c r="N109" s="23"/>
      <c r="O109" s="23"/>
      <c r="P109" s="23"/>
      <c r="Q109" s="23"/>
      <c r="R109" s="23"/>
      <c r="S109" s="23"/>
    </row>
    <row r="110" spans="1:19" ht="24" customHeight="1" thickTop="1">
      <c r="A110" s="12"/>
      <c r="E110" s="25"/>
      <c r="F110" s="25"/>
      <c r="G110" s="25"/>
      <c r="H110" s="25"/>
      <c r="I110" s="25"/>
      <c r="J110" s="25"/>
      <c r="K110" s="25"/>
      <c r="M110" s="23"/>
      <c r="N110" s="23"/>
      <c r="O110" s="23"/>
      <c r="P110" s="23"/>
      <c r="Q110" s="23"/>
      <c r="R110" s="23"/>
      <c r="S110" s="23"/>
    </row>
    <row r="111" spans="1:19" ht="24" customHeight="1">
      <c r="A111" s="12" t="s">
        <v>84</v>
      </c>
      <c r="E111" s="25"/>
      <c r="F111" s="25"/>
      <c r="G111" s="25"/>
      <c r="H111" s="25"/>
      <c r="I111" s="25"/>
      <c r="J111" s="25"/>
      <c r="K111" s="25"/>
      <c r="M111" s="23"/>
      <c r="N111" s="23"/>
      <c r="O111" s="23"/>
      <c r="P111" s="23"/>
      <c r="Q111" s="23"/>
      <c r="R111" s="23"/>
      <c r="S111" s="23"/>
    </row>
    <row r="112" spans="1:19" ht="24" customHeight="1" thickBot="1">
      <c r="A112" s="5" t="s">
        <v>78</v>
      </c>
      <c r="E112" s="25">
        <f>E114-E113</f>
        <v>139348</v>
      </c>
      <c r="F112" s="25"/>
      <c r="G112" s="25">
        <f>G114-G113</f>
        <v>38271</v>
      </c>
      <c r="H112" s="25"/>
      <c r="I112" s="38">
        <f>I95</f>
        <v>137203</v>
      </c>
      <c r="K112" s="38">
        <f>K95</f>
        <v>37142</v>
      </c>
      <c r="M112" s="23"/>
      <c r="N112" s="23"/>
      <c r="O112" s="23"/>
      <c r="P112" s="23"/>
      <c r="Q112" s="23"/>
      <c r="R112" s="23"/>
      <c r="S112" s="23"/>
    </row>
    <row r="113" spans="1:19" ht="24" customHeight="1" thickTop="1">
      <c r="A113" s="5" t="s">
        <v>126</v>
      </c>
      <c r="E113" s="25">
        <v>-37</v>
      </c>
      <c r="F113" s="36"/>
      <c r="G113" s="25">
        <v>24</v>
      </c>
      <c r="H113" s="25"/>
      <c r="I113" s="25"/>
      <c r="J113" s="25"/>
      <c r="K113" s="25"/>
      <c r="M113" s="23"/>
      <c r="N113" s="23"/>
      <c r="O113" s="23"/>
      <c r="P113" s="23"/>
      <c r="Q113" s="23"/>
      <c r="R113" s="23"/>
      <c r="S113" s="23"/>
    </row>
    <row r="114" spans="1:19" ht="24" customHeight="1" thickBot="1">
      <c r="A114" s="12"/>
      <c r="E114" s="54">
        <f>E95</f>
        <v>139311</v>
      </c>
      <c r="G114" s="54">
        <f>G95</f>
        <v>38295</v>
      </c>
      <c r="H114" s="36"/>
      <c r="I114" s="25"/>
      <c r="J114" s="25"/>
      <c r="K114" s="25"/>
      <c r="M114" s="133"/>
      <c r="N114" s="23"/>
      <c r="O114" s="23"/>
      <c r="P114" s="23"/>
      <c r="Q114" s="23"/>
      <c r="R114" s="23"/>
      <c r="S114" s="23"/>
    </row>
    <row r="115" spans="1:19" ht="24" customHeight="1" thickTop="1">
      <c r="A115" s="12"/>
      <c r="E115" s="25"/>
      <c r="F115" s="36"/>
      <c r="G115" s="25"/>
      <c r="H115" s="36"/>
      <c r="I115" s="25"/>
      <c r="J115" s="25"/>
      <c r="K115" s="25"/>
      <c r="M115" s="23"/>
      <c r="N115" s="23"/>
      <c r="O115" s="23"/>
      <c r="P115" s="23"/>
      <c r="Q115" s="23"/>
      <c r="R115" s="23"/>
      <c r="S115" s="23"/>
    </row>
    <row r="116" spans="1:19" ht="24" customHeight="1">
      <c r="A116" s="12" t="s">
        <v>95</v>
      </c>
      <c r="C116" s="19">
        <v>15</v>
      </c>
      <c r="E116" s="22"/>
      <c r="G116" s="22"/>
      <c r="I116" s="22"/>
      <c r="J116" s="23"/>
      <c r="K116" s="22"/>
      <c r="M116" s="23"/>
      <c r="N116" s="23"/>
      <c r="O116" s="23"/>
      <c r="P116" s="23"/>
      <c r="Q116" s="23"/>
      <c r="R116" s="23"/>
      <c r="S116" s="23"/>
    </row>
    <row r="117" spans="1:19" ht="24" customHeight="1" thickBot="1">
      <c r="A117" s="5" t="s">
        <v>195</v>
      </c>
      <c r="E117" s="44">
        <f>E107/800000</f>
        <v>0.17169375000000001</v>
      </c>
      <c r="F117" s="50" t="e">
        <f>F107/#REF!*1000</f>
        <v>#REF!</v>
      </c>
      <c r="G117" s="44">
        <f>G107/800000</f>
        <v>4.8114999999999998E-2</v>
      </c>
      <c r="H117" s="28"/>
      <c r="I117" s="44">
        <f>I107/800000</f>
        <v>0.16959625</v>
      </c>
      <c r="J117" s="28"/>
      <c r="K117" s="44">
        <f>K107/800000</f>
        <v>4.6427499999999997E-2</v>
      </c>
      <c r="M117" s="50"/>
      <c r="N117" s="50"/>
      <c r="O117" s="50"/>
      <c r="P117" s="50"/>
      <c r="Q117" s="23"/>
      <c r="R117" s="23"/>
      <c r="S117" s="23"/>
    </row>
    <row r="118" spans="1:19" ht="24" customHeight="1" thickTop="1">
      <c r="E118" s="50"/>
      <c r="F118" s="50"/>
      <c r="G118" s="50"/>
      <c r="H118" s="51"/>
      <c r="I118" s="50"/>
      <c r="J118" s="51"/>
      <c r="K118" s="50"/>
      <c r="M118" s="23"/>
      <c r="N118" s="23"/>
      <c r="O118" s="23"/>
      <c r="P118" s="23"/>
      <c r="Q118" s="23"/>
      <c r="R118" s="23"/>
      <c r="S118" s="23"/>
    </row>
    <row r="119" spans="1:19" ht="24" customHeight="1">
      <c r="A119" s="71" t="s">
        <v>172</v>
      </c>
      <c r="E119" s="22"/>
      <c r="G119" s="22"/>
      <c r="I119" s="22"/>
      <c r="K119" s="22"/>
      <c r="M119" s="23"/>
      <c r="N119" s="23"/>
      <c r="O119" s="23"/>
      <c r="P119" s="23"/>
      <c r="Q119" s="23"/>
      <c r="R119" s="23"/>
      <c r="S119" s="23"/>
    </row>
    <row r="120" spans="1:19" ht="24" customHeight="1">
      <c r="E120" s="22"/>
      <c r="G120" s="22"/>
      <c r="I120" s="22"/>
      <c r="K120" s="59" t="s">
        <v>139</v>
      </c>
      <c r="M120" s="23"/>
      <c r="N120" s="23"/>
      <c r="O120" s="23"/>
      <c r="P120" s="23"/>
      <c r="Q120" s="23"/>
      <c r="R120" s="23"/>
      <c r="S120" s="23"/>
    </row>
    <row r="121" spans="1:19" ht="24" customHeight="1">
      <c r="A121" s="67" t="s">
        <v>180</v>
      </c>
      <c r="B121" s="9"/>
      <c r="C121" s="10"/>
      <c r="D121" s="10"/>
      <c r="E121" s="11"/>
      <c r="F121" s="9"/>
      <c r="G121" s="11"/>
      <c r="H121" s="9"/>
      <c r="I121" s="11"/>
      <c r="J121" s="9"/>
      <c r="K121" s="11"/>
      <c r="M121" s="23"/>
      <c r="N121" s="23"/>
      <c r="O121" s="23"/>
      <c r="P121" s="23"/>
      <c r="Q121" s="23"/>
      <c r="R121" s="23"/>
      <c r="S121" s="23"/>
    </row>
    <row r="122" spans="1:19" ht="24" customHeight="1">
      <c r="A122" s="108" t="s">
        <v>179</v>
      </c>
      <c r="B122" s="9"/>
      <c r="C122" s="10"/>
      <c r="D122" s="10"/>
      <c r="E122" s="11"/>
      <c r="F122" s="9"/>
      <c r="G122" s="11"/>
      <c r="H122" s="9"/>
      <c r="I122" s="11"/>
      <c r="J122" s="9"/>
      <c r="K122" s="11"/>
      <c r="M122" s="23"/>
      <c r="N122" s="23"/>
      <c r="O122" s="23"/>
      <c r="P122" s="23"/>
      <c r="Q122" s="23"/>
      <c r="R122" s="23"/>
      <c r="S122" s="23"/>
    </row>
    <row r="123" spans="1:19" ht="24" customHeight="1">
      <c r="A123" s="58" t="s">
        <v>11</v>
      </c>
      <c r="B123" s="9"/>
      <c r="C123" s="10"/>
      <c r="D123" s="10"/>
      <c r="E123" s="11"/>
      <c r="F123" s="9"/>
      <c r="G123" s="11"/>
      <c r="H123" s="9"/>
      <c r="I123" s="11"/>
      <c r="J123" s="29"/>
      <c r="K123" s="11"/>
      <c r="M123" s="23"/>
      <c r="N123" s="23"/>
      <c r="O123" s="23"/>
      <c r="P123" s="23"/>
      <c r="Q123" s="23"/>
      <c r="R123" s="23"/>
      <c r="S123" s="23"/>
    </row>
    <row r="124" spans="1:19" ht="24" customHeight="1">
      <c r="A124" s="58" t="s">
        <v>163</v>
      </c>
      <c r="B124" s="9"/>
      <c r="C124" s="10"/>
      <c r="D124" s="10"/>
      <c r="E124" s="11"/>
      <c r="F124" s="9"/>
      <c r="G124" s="11"/>
      <c r="H124" s="9"/>
      <c r="I124" s="11"/>
      <c r="J124" s="9"/>
      <c r="K124" s="11"/>
      <c r="M124" s="23"/>
      <c r="N124" s="23"/>
      <c r="O124" s="23"/>
      <c r="P124" s="23"/>
      <c r="Q124" s="23"/>
      <c r="R124" s="23"/>
      <c r="S124" s="23"/>
    </row>
    <row r="125" spans="1:19" ht="24" customHeight="1">
      <c r="B125" s="149" t="s">
        <v>36</v>
      </c>
      <c r="C125" s="149"/>
      <c r="D125" s="149"/>
      <c r="E125" s="149"/>
      <c r="F125" s="149"/>
      <c r="G125" s="149"/>
      <c r="H125" s="149"/>
      <c r="I125" s="149"/>
      <c r="J125" s="149"/>
      <c r="K125" s="149"/>
      <c r="M125" s="23"/>
      <c r="N125" s="23"/>
      <c r="O125" s="23"/>
      <c r="P125" s="23"/>
      <c r="Q125" s="23"/>
      <c r="R125" s="23"/>
      <c r="S125" s="23"/>
    </row>
    <row r="126" spans="1:19" s="12" customFormat="1" ht="24" customHeight="1">
      <c r="C126" s="13"/>
      <c r="D126" s="13"/>
      <c r="E126" s="148" t="s">
        <v>0</v>
      </c>
      <c r="F126" s="148"/>
      <c r="G126" s="148"/>
      <c r="H126" s="14"/>
      <c r="I126" s="148" t="s">
        <v>31</v>
      </c>
      <c r="J126" s="148"/>
      <c r="K126" s="148"/>
      <c r="M126" s="142"/>
      <c r="N126" s="142"/>
      <c r="O126" s="142"/>
      <c r="P126" s="142"/>
      <c r="Q126" s="142"/>
      <c r="R126" s="142"/>
      <c r="S126" s="142"/>
    </row>
    <row r="127" spans="1:19" ht="24" customHeight="1">
      <c r="C127" s="15"/>
      <c r="D127" s="24"/>
      <c r="E127" s="16">
        <v>2563</v>
      </c>
      <c r="F127" s="16"/>
      <c r="G127" s="16">
        <v>2562</v>
      </c>
      <c r="H127" s="17"/>
      <c r="I127" s="16">
        <v>2563</v>
      </c>
      <c r="J127" s="16"/>
      <c r="K127" s="16">
        <v>2562</v>
      </c>
      <c r="M127" s="23"/>
      <c r="N127" s="23"/>
      <c r="O127" s="23"/>
      <c r="P127" s="23"/>
      <c r="Q127" s="23"/>
      <c r="R127" s="23"/>
      <c r="S127" s="23"/>
    </row>
    <row r="128" spans="1:19" ht="24" customHeight="1">
      <c r="A128" s="12" t="s">
        <v>33</v>
      </c>
      <c r="B128" s="12"/>
      <c r="H128" s="17"/>
      <c r="I128" s="16"/>
      <c r="J128" s="16"/>
      <c r="K128" s="16"/>
      <c r="M128" s="23"/>
      <c r="N128" s="23"/>
      <c r="O128" s="23"/>
      <c r="P128" s="23"/>
      <c r="Q128" s="23"/>
      <c r="R128" s="23"/>
      <c r="S128" s="23"/>
    </row>
    <row r="129" spans="1:19" ht="24" customHeight="1">
      <c r="A129" s="5" t="s">
        <v>199</v>
      </c>
      <c r="E129" s="53">
        <f>E82</f>
        <v>170379</v>
      </c>
      <c r="F129" s="53"/>
      <c r="G129" s="53">
        <f>G82</f>
        <v>42119</v>
      </c>
      <c r="H129" s="53"/>
      <c r="I129" s="53">
        <f>I82</f>
        <v>167613</v>
      </c>
      <c r="J129" s="53"/>
      <c r="K129" s="53">
        <f>K82</f>
        <v>39855</v>
      </c>
      <c r="M129" s="23"/>
      <c r="N129" s="23"/>
      <c r="O129" s="23"/>
      <c r="P129" s="23"/>
      <c r="Q129" s="23"/>
      <c r="R129" s="23"/>
      <c r="S129" s="23"/>
    </row>
    <row r="130" spans="1:19" ht="24" customHeight="1">
      <c r="A130" s="5" t="s">
        <v>200</v>
      </c>
      <c r="E130" s="25"/>
      <c r="F130" s="53"/>
      <c r="G130" s="25"/>
      <c r="H130" s="53"/>
      <c r="I130" s="53"/>
      <c r="J130" s="53"/>
      <c r="K130" s="53"/>
      <c r="M130" s="23"/>
      <c r="N130" s="23"/>
      <c r="O130" s="23"/>
      <c r="P130" s="23"/>
      <c r="Q130" s="23"/>
      <c r="R130" s="23"/>
      <c r="S130" s="23"/>
    </row>
    <row r="131" spans="1:19" ht="24" customHeight="1">
      <c r="A131" s="5" t="s">
        <v>81</v>
      </c>
      <c r="E131" s="25"/>
      <c r="F131" s="53"/>
      <c r="G131" s="25"/>
      <c r="H131" s="25"/>
      <c r="I131" s="25"/>
      <c r="J131" s="53"/>
      <c r="K131" s="25"/>
      <c r="M131" s="23"/>
      <c r="N131" s="23"/>
      <c r="O131" s="23"/>
      <c r="P131" s="23"/>
      <c r="Q131" s="23"/>
      <c r="R131" s="23"/>
      <c r="S131" s="23"/>
    </row>
    <row r="132" spans="1:19" ht="24" customHeight="1">
      <c r="A132" s="5" t="s">
        <v>61</v>
      </c>
      <c r="E132" s="25">
        <v>105735</v>
      </c>
      <c r="F132" s="25"/>
      <c r="G132" s="25">
        <v>132478</v>
      </c>
      <c r="H132" s="25"/>
      <c r="I132" s="25">
        <v>105595</v>
      </c>
      <c r="J132" s="25"/>
      <c r="K132" s="25">
        <v>132478</v>
      </c>
      <c r="M132" s="23"/>
      <c r="N132" s="23"/>
      <c r="O132" s="23"/>
      <c r="P132" s="23"/>
      <c r="Q132" s="23"/>
      <c r="R132" s="23"/>
      <c r="S132" s="23"/>
    </row>
    <row r="133" spans="1:19" s="47" customFormat="1" ht="24" customHeight="1">
      <c r="A133" s="47" t="s">
        <v>114</v>
      </c>
      <c r="B133" s="46"/>
      <c r="C133" s="46"/>
      <c r="D133" s="45"/>
      <c r="E133" s="45">
        <v>-12</v>
      </c>
      <c r="F133" s="45"/>
      <c r="G133" s="45">
        <v>-5709</v>
      </c>
      <c r="H133" s="45"/>
      <c r="I133" s="45">
        <v>-12</v>
      </c>
      <c r="J133" s="45"/>
      <c r="K133" s="45">
        <v>-5709</v>
      </c>
      <c r="M133" s="144"/>
      <c r="N133" s="144"/>
      <c r="O133" s="144"/>
      <c r="P133" s="144"/>
      <c r="Q133" s="144"/>
      <c r="R133" s="144"/>
      <c r="S133" s="144"/>
    </row>
    <row r="134" spans="1:19" s="47" customFormat="1" ht="24" customHeight="1">
      <c r="A134" s="47" t="s">
        <v>150</v>
      </c>
      <c r="B134" s="46"/>
      <c r="C134" s="46"/>
      <c r="D134" s="45"/>
      <c r="E134" s="45">
        <v>231</v>
      </c>
      <c r="F134" s="45"/>
      <c r="G134" s="45">
        <v>-73</v>
      </c>
      <c r="H134" s="45"/>
      <c r="I134" s="45">
        <v>231</v>
      </c>
      <c r="J134" s="45"/>
      <c r="K134" s="45">
        <v>-73</v>
      </c>
      <c r="M134" s="144"/>
      <c r="N134" s="144"/>
      <c r="O134" s="144"/>
      <c r="P134" s="144"/>
      <c r="Q134" s="144"/>
      <c r="R134" s="144"/>
      <c r="S134" s="144"/>
    </row>
    <row r="135" spans="1:19" ht="24" customHeight="1">
      <c r="A135" s="5" t="s">
        <v>157</v>
      </c>
      <c r="E135" s="45">
        <v>-572</v>
      </c>
      <c r="F135" s="25"/>
      <c r="G135" s="45">
        <v>2744</v>
      </c>
      <c r="H135" s="25"/>
      <c r="I135" s="45">
        <v>-572</v>
      </c>
      <c r="J135" s="25"/>
      <c r="K135" s="45">
        <v>2744</v>
      </c>
      <c r="M135" s="23"/>
      <c r="N135" s="23"/>
      <c r="O135" s="23"/>
      <c r="P135" s="23"/>
      <c r="Q135" s="23"/>
      <c r="R135" s="23"/>
      <c r="S135" s="23"/>
    </row>
    <row r="136" spans="1:19" ht="24" customHeight="1">
      <c r="A136" s="5" t="s">
        <v>208</v>
      </c>
      <c r="E136" s="25">
        <v>243</v>
      </c>
      <c r="F136" s="25"/>
      <c r="G136" s="25">
        <v>-2595</v>
      </c>
      <c r="H136" s="25"/>
      <c r="I136" s="25">
        <v>243</v>
      </c>
      <c r="J136" s="25"/>
      <c r="K136" s="25">
        <v>-2839</v>
      </c>
      <c r="M136" s="23"/>
      <c r="N136" s="23"/>
      <c r="O136" s="23"/>
      <c r="P136" s="23"/>
      <c r="Q136" s="23"/>
      <c r="R136" s="23"/>
      <c r="S136" s="23"/>
    </row>
    <row r="137" spans="1:19" ht="24" customHeight="1">
      <c r="A137" s="5" t="s">
        <v>77</v>
      </c>
      <c r="E137" s="45">
        <v>6900</v>
      </c>
      <c r="F137" s="25"/>
      <c r="G137" s="45">
        <v>9180</v>
      </c>
      <c r="H137" s="25"/>
      <c r="I137" s="45">
        <v>6900</v>
      </c>
      <c r="J137" s="25"/>
      <c r="K137" s="45">
        <v>9180</v>
      </c>
      <c r="L137" s="23"/>
      <c r="M137" s="23"/>
      <c r="N137" s="23"/>
      <c r="O137" s="23"/>
      <c r="P137" s="23"/>
      <c r="Q137" s="23"/>
      <c r="R137" s="23"/>
      <c r="S137" s="23"/>
    </row>
    <row r="138" spans="1:19" ht="24" customHeight="1">
      <c r="A138" s="5" t="s">
        <v>156</v>
      </c>
      <c r="E138" s="45">
        <v>-4287</v>
      </c>
      <c r="F138" s="25"/>
      <c r="G138" s="45">
        <v>822</v>
      </c>
      <c r="H138" s="25"/>
      <c r="I138" s="45">
        <v>-2093</v>
      </c>
      <c r="J138" s="25"/>
      <c r="K138" s="45">
        <v>822</v>
      </c>
      <c r="L138" s="23"/>
      <c r="M138" s="23"/>
      <c r="N138" s="23"/>
      <c r="O138" s="23"/>
      <c r="P138" s="23"/>
      <c r="Q138" s="23"/>
      <c r="R138" s="23"/>
      <c r="S138" s="23"/>
    </row>
    <row r="139" spans="1:19" ht="24" customHeight="1">
      <c r="A139" s="5" t="s">
        <v>47</v>
      </c>
      <c r="E139" s="45">
        <v>-1958</v>
      </c>
      <c r="F139" s="25"/>
      <c r="G139" s="45">
        <v>-1735</v>
      </c>
      <c r="H139" s="25"/>
      <c r="I139" s="45">
        <v>-1958</v>
      </c>
      <c r="J139" s="25"/>
      <c r="K139" s="45">
        <v>-1735</v>
      </c>
      <c r="L139" s="23"/>
      <c r="M139" s="23"/>
      <c r="N139" s="23"/>
      <c r="O139" s="23"/>
      <c r="P139" s="23"/>
      <c r="Q139" s="23"/>
      <c r="R139" s="23"/>
      <c r="S139" s="23"/>
    </row>
    <row r="140" spans="1:19" ht="24" customHeight="1">
      <c r="A140" s="5" t="s">
        <v>56</v>
      </c>
      <c r="E140" s="26">
        <v>38668</v>
      </c>
      <c r="F140" s="25"/>
      <c r="G140" s="26">
        <v>32974</v>
      </c>
      <c r="H140" s="25"/>
      <c r="I140" s="26">
        <v>38434</v>
      </c>
      <c r="J140" s="25"/>
      <c r="K140" s="26">
        <v>31307</v>
      </c>
      <c r="M140" s="23"/>
      <c r="N140" s="23"/>
      <c r="O140" s="23"/>
      <c r="P140" s="23"/>
      <c r="Q140" s="23"/>
      <c r="R140" s="23"/>
      <c r="S140" s="23"/>
    </row>
    <row r="141" spans="1:19" ht="24" customHeight="1">
      <c r="A141" s="5" t="s">
        <v>144</v>
      </c>
      <c r="E141" s="25"/>
      <c r="F141" s="25"/>
      <c r="G141" s="25"/>
      <c r="H141" s="25"/>
      <c r="I141" s="25"/>
      <c r="J141" s="25"/>
      <c r="K141" s="25"/>
      <c r="M141" s="23"/>
      <c r="N141" s="23"/>
      <c r="O141" s="23"/>
      <c r="P141" s="23"/>
      <c r="Q141" s="23"/>
      <c r="R141" s="23"/>
      <c r="S141" s="23"/>
    </row>
    <row r="142" spans="1:19" ht="24" customHeight="1">
      <c r="A142" s="5" t="s">
        <v>48</v>
      </c>
      <c r="E142" s="25">
        <f>SUM(E129:E140)</f>
        <v>315327</v>
      </c>
      <c r="F142" s="25"/>
      <c r="G142" s="25">
        <f>SUM(G129:G140)</f>
        <v>210205</v>
      </c>
      <c r="H142" s="25"/>
      <c r="I142" s="25">
        <f>SUM(I129:I140)</f>
        <v>314381</v>
      </c>
      <c r="J142" s="25"/>
      <c r="K142" s="25">
        <f>SUM(K129:K140)</f>
        <v>206030</v>
      </c>
      <c r="M142" s="23"/>
      <c r="N142" s="23"/>
      <c r="O142" s="23"/>
      <c r="P142" s="23"/>
      <c r="Q142" s="23"/>
      <c r="R142" s="23"/>
      <c r="S142" s="23"/>
    </row>
    <row r="143" spans="1:19" ht="24" customHeight="1">
      <c r="A143" s="5" t="s">
        <v>58</v>
      </c>
      <c r="E143" s="25"/>
      <c r="F143" s="25"/>
      <c r="G143" s="25"/>
      <c r="H143" s="25"/>
      <c r="I143" s="25"/>
      <c r="J143" s="25"/>
      <c r="K143" s="25"/>
      <c r="M143" s="23"/>
      <c r="N143" s="23"/>
      <c r="O143" s="23"/>
      <c r="P143" s="23"/>
      <c r="Q143" s="23"/>
      <c r="R143" s="23"/>
      <c r="S143" s="23"/>
    </row>
    <row r="144" spans="1:19" ht="24" customHeight="1">
      <c r="A144" s="5" t="s">
        <v>90</v>
      </c>
      <c r="E144" s="25">
        <v>-48142</v>
      </c>
      <c r="F144" s="25"/>
      <c r="G144" s="25">
        <v>-264147</v>
      </c>
      <c r="H144" s="25"/>
      <c r="I144" s="25">
        <v>-60290</v>
      </c>
      <c r="J144" s="25"/>
      <c r="K144" s="25">
        <v>-260032</v>
      </c>
      <c r="M144" s="23"/>
      <c r="N144" s="23"/>
      <c r="O144" s="23"/>
      <c r="P144" s="23"/>
      <c r="Q144" s="23"/>
      <c r="R144" s="23"/>
      <c r="S144" s="23"/>
    </row>
    <row r="145" spans="1:19" ht="24" customHeight="1">
      <c r="A145" s="5" t="s">
        <v>68</v>
      </c>
      <c r="E145" s="25">
        <v>-169249</v>
      </c>
      <c r="F145" s="25"/>
      <c r="G145" s="25">
        <v>-212194</v>
      </c>
      <c r="H145" s="25"/>
      <c r="I145" s="25">
        <v>-157471</v>
      </c>
      <c r="J145" s="25"/>
      <c r="K145" s="25">
        <v>-209041</v>
      </c>
      <c r="M145" s="23"/>
      <c r="N145" s="23"/>
      <c r="O145" s="23"/>
      <c r="P145" s="23"/>
      <c r="Q145" s="23"/>
      <c r="R145" s="23"/>
      <c r="S145" s="23"/>
    </row>
    <row r="146" spans="1:19" s="113" customFormat="1" ht="24" customHeight="1">
      <c r="A146" s="117" t="s">
        <v>142</v>
      </c>
      <c r="C146" s="114"/>
      <c r="D146" s="114"/>
      <c r="E146" s="115">
        <v>11172</v>
      </c>
      <c r="F146" s="115"/>
      <c r="G146" s="133">
        <v>-32537</v>
      </c>
      <c r="H146" s="133"/>
      <c r="I146" s="133">
        <v>10801</v>
      </c>
      <c r="J146" s="133"/>
      <c r="K146" s="133">
        <v>-32537</v>
      </c>
      <c r="M146" s="23"/>
      <c r="N146" s="23"/>
      <c r="O146" s="23"/>
      <c r="P146" s="23"/>
      <c r="Q146" s="23"/>
      <c r="R146" s="23"/>
      <c r="S146" s="23"/>
    </row>
    <row r="147" spans="1:19" ht="24" customHeight="1">
      <c r="A147" s="5" t="s">
        <v>53</v>
      </c>
      <c r="E147" s="25">
        <v>2420</v>
      </c>
      <c r="F147" s="25"/>
      <c r="G147" s="25">
        <v>5227</v>
      </c>
      <c r="H147" s="25"/>
      <c r="I147" s="25">
        <v>3464</v>
      </c>
      <c r="J147" s="25"/>
      <c r="K147" s="25">
        <v>8569</v>
      </c>
      <c r="M147" s="23"/>
      <c r="N147" s="23"/>
      <c r="O147" s="23"/>
      <c r="P147" s="23"/>
      <c r="Q147" s="23"/>
      <c r="R147" s="23"/>
      <c r="S147" s="23"/>
    </row>
    <row r="148" spans="1:19" ht="24" customHeight="1">
      <c r="A148" s="5" t="s">
        <v>102</v>
      </c>
      <c r="E148" s="25">
        <v>-12592</v>
      </c>
      <c r="F148" s="25"/>
      <c r="G148" s="133">
        <v>-16851</v>
      </c>
      <c r="H148" s="133"/>
      <c r="I148" s="133">
        <v>-12402</v>
      </c>
      <c r="J148" s="133"/>
      <c r="K148" s="133">
        <v>-17667</v>
      </c>
      <c r="M148" s="23"/>
      <c r="N148" s="23"/>
      <c r="O148" s="23"/>
      <c r="P148" s="23"/>
      <c r="Q148" s="23"/>
      <c r="R148" s="23"/>
      <c r="S148" s="23"/>
    </row>
    <row r="149" spans="1:19" ht="24" customHeight="1">
      <c r="A149" s="116" t="s">
        <v>184</v>
      </c>
      <c r="E149" s="25">
        <v>13719</v>
      </c>
      <c r="F149" s="25"/>
      <c r="G149" s="133">
        <v>0</v>
      </c>
      <c r="H149" s="133"/>
      <c r="I149" s="133">
        <v>13719</v>
      </c>
      <c r="J149" s="133"/>
      <c r="K149" s="133">
        <v>0</v>
      </c>
      <c r="M149" s="23"/>
      <c r="N149" s="23"/>
      <c r="O149" s="23"/>
      <c r="P149" s="23"/>
      <c r="Q149" s="23"/>
      <c r="R149" s="23"/>
      <c r="S149" s="23"/>
    </row>
    <row r="150" spans="1:19" ht="24" customHeight="1">
      <c r="A150" s="5" t="s">
        <v>54</v>
      </c>
      <c r="E150" s="25">
        <v>-432</v>
      </c>
      <c r="F150" s="25"/>
      <c r="G150" s="25">
        <v>-27262</v>
      </c>
      <c r="H150" s="25"/>
      <c r="I150" s="25">
        <v>-236</v>
      </c>
      <c r="J150" s="25"/>
      <c r="K150" s="25">
        <v>-25368</v>
      </c>
      <c r="M150" s="23"/>
      <c r="N150" s="23"/>
      <c r="O150" s="23"/>
      <c r="P150" s="23"/>
      <c r="Q150" s="23"/>
      <c r="R150" s="23"/>
      <c r="S150" s="23"/>
    </row>
    <row r="151" spans="1:19" ht="24" customHeight="1">
      <c r="A151" s="5" t="s">
        <v>49</v>
      </c>
      <c r="E151" s="25"/>
      <c r="F151" s="25"/>
      <c r="G151" s="25"/>
      <c r="H151" s="25"/>
      <c r="I151" s="25"/>
      <c r="J151" s="25"/>
      <c r="K151" s="25"/>
      <c r="M151" s="23"/>
      <c r="N151" s="23"/>
      <c r="O151" s="23"/>
      <c r="P151" s="23"/>
      <c r="Q151" s="23"/>
      <c r="R151" s="23"/>
      <c r="S151" s="23"/>
    </row>
    <row r="152" spans="1:19" ht="24" customHeight="1">
      <c r="A152" s="5" t="s">
        <v>91</v>
      </c>
      <c r="E152" s="25">
        <v>133606</v>
      </c>
      <c r="F152" s="25"/>
      <c r="G152" s="25">
        <v>32965</v>
      </c>
      <c r="H152" s="25"/>
      <c r="I152" s="25">
        <v>131338</v>
      </c>
      <c r="J152" s="25"/>
      <c r="K152" s="25">
        <v>30677</v>
      </c>
      <c r="M152" s="23"/>
      <c r="N152" s="23"/>
      <c r="O152" s="23"/>
      <c r="P152" s="23"/>
      <c r="Q152" s="23"/>
      <c r="R152" s="23"/>
      <c r="S152" s="23"/>
    </row>
    <row r="153" spans="1:19" ht="24" customHeight="1">
      <c r="A153" s="5" t="s">
        <v>110</v>
      </c>
      <c r="E153" s="25">
        <v>-74159</v>
      </c>
      <c r="F153" s="25"/>
      <c r="G153" s="25">
        <v>155923</v>
      </c>
      <c r="H153" s="25"/>
      <c r="I153" s="25">
        <v>-73202</v>
      </c>
      <c r="J153" s="25"/>
      <c r="K153" s="25">
        <v>154161</v>
      </c>
      <c r="M153" s="23"/>
      <c r="N153" s="23"/>
      <c r="O153" s="23"/>
      <c r="P153" s="23"/>
      <c r="Q153" s="23"/>
      <c r="R153" s="23"/>
      <c r="S153" s="23"/>
    </row>
    <row r="154" spans="1:19" s="126" customFormat="1" ht="24" customHeight="1">
      <c r="A154" s="126" t="s">
        <v>197</v>
      </c>
      <c r="C154" s="114"/>
      <c r="D154" s="114"/>
      <c r="E154" s="133">
        <v>4071</v>
      </c>
      <c r="F154" s="133"/>
      <c r="G154" s="133">
        <v>0</v>
      </c>
      <c r="H154" s="133"/>
      <c r="I154" s="133">
        <v>4071</v>
      </c>
      <c r="J154" s="133"/>
      <c r="K154" s="133">
        <v>0</v>
      </c>
      <c r="M154" s="23"/>
      <c r="N154" s="23"/>
      <c r="O154" s="23"/>
      <c r="P154" s="23"/>
      <c r="Q154" s="23"/>
      <c r="R154" s="23"/>
      <c r="S154" s="23"/>
    </row>
    <row r="155" spans="1:19" ht="24" customHeight="1">
      <c r="A155" s="5" t="s">
        <v>55</v>
      </c>
      <c r="E155" s="25">
        <v>5348</v>
      </c>
      <c r="F155" s="25"/>
      <c r="G155" s="25">
        <v>33742</v>
      </c>
      <c r="H155" s="25"/>
      <c r="I155" s="25">
        <v>4273</v>
      </c>
      <c r="J155" s="25"/>
      <c r="K155" s="25">
        <v>30271</v>
      </c>
      <c r="M155" s="23"/>
      <c r="N155" s="23"/>
      <c r="O155" s="23"/>
      <c r="P155" s="23"/>
      <c r="Q155" s="23"/>
      <c r="R155" s="23"/>
      <c r="S155" s="23"/>
    </row>
    <row r="156" spans="1:19" ht="24" customHeight="1">
      <c r="A156" s="5" t="s">
        <v>209</v>
      </c>
      <c r="E156" s="25">
        <v>-379</v>
      </c>
      <c r="F156" s="25"/>
      <c r="G156" s="25">
        <v>0</v>
      </c>
      <c r="H156" s="25"/>
      <c r="I156" s="25">
        <v>-379</v>
      </c>
      <c r="J156" s="25"/>
      <c r="K156" s="25">
        <v>0</v>
      </c>
      <c r="M156" s="23"/>
      <c r="N156" s="23"/>
      <c r="O156" s="23"/>
      <c r="P156" s="23"/>
      <c r="Q156" s="23"/>
      <c r="R156" s="23"/>
      <c r="S156" s="23"/>
    </row>
    <row r="157" spans="1:19" s="23" customFormat="1" ht="24" customHeight="1">
      <c r="A157" s="5" t="s">
        <v>107</v>
      </c>
      <c r="B157" s="5"/>
      <c r="C157" s="30"/>
      <c r="D157" s="30"/>
      <c r="E157" s="25">
        <v>-839</v>
      </c>
      <c r="F157" s="25"/>
      <c r="G157" s="25">
        <v>-547</v>
      </c>
      <c r="H157" s="25"/>
      <c r="I157" s="25">
        <v>-839</v>
      </c>
      <c r="J157" s="25"/>
      <c r="K157" s="25">
        <v>-546</v>
      </c>
    </row>
    <row r="158" spans="1:19" ht="24" customHeight="1">
      <c r="A158" s="5" t="s">
        <v>161</v>
      </c>
      <c r="E158" s="31">
        <f>SUM(E142:E157)</f>
        <v>179871</v>
      </c>
      <c r="F158" s="25"/>
      <c r="G158" s="31">
        <f>SUM(G142:G157)</f>
        <v>-115476</v>
      </c>
      <c r="H158" s="25"/>
      <c r="I158" s="31">
        <f>SUM(I142:I157)</f>
        <v>177228</v>
      </c>
      <c r="J158" s="25"/>
      <c r="K158" s="31">
        <f>SUM(K142:K157)</f>
        <v>-115483</v>
      </c>
      <c r="M158" s="23"/>
      <c r="N158" s="23"/>
      <c r="O158" s="23"/>
      <c r="P158" s="23"/>
      <c r="Q158" s="23"/>
      <c r="R158" s="23"/>
      <c r="S158" s="23"/>
    </row>
    <row r="159" spans="1:19" ht="24" customHeight="1">
      <c r="A159" s="5" t="s">
        <v>57</v>
      </c>
      <c r="E159" s="25">
        <v>-24219</v>
      </c>
      <c r="F159" s="25"/>
      <c r="G159" s="25">
        <v>-12525</v>
      </c>
      <c r="H159" s="25"/>
      <c r="I159" s="25">
        <v>-24487</v>
      </c>
      <c r="J159" s="25"/>
      <c r="K159" s="25">
        <v>-12373</v>
      </c>
      <c r="M159" s="23"/>
      <c r="N159" s="23"/>
      <c r="O159" s="23"/>
      <c r="P159" s="23"/>
      <c r="Q159" s="23"/>
      <c r="R159" s="23"/>
      <c r="S159" s="23"/>
    </row>
    <row r="160" spans="1:19" ht="24" customHeight="1">
      <c r="A160" s="12" t="s">
        <v>145</v>
      </c>
      <c r="E160" s="32">
        <f>SUM(E158:E159)</f>
        <v>155652</v>
      </c>
      <c r="F160" s="25"/>
      <c r="G160" s="32">
        <f>SUM(G158:G159)</f>
        <v>-128001</v>
      </c>
      <c r="H160" s="25"/>
      <c r="I160" s="32">
        <f>SUM(I158:I159)</f>
        <v>152741</v>
      </c>
      <c r="J160" s="25"/>
      <c r="K160" s="32">
        <f>SUM(K158:K159)</f>
        <v>-127856</v>
      </c>
      <c r="M160" s="23"/>
      <c r="N160" s="23"/>
      <c r="O160" s="23"/>
      <c r="P160" s="23"/>
      <c r="Q160" s="23"/>
      <c r="R160" s="23"/>
      <c r="S160" s="23"/>
    </row>
    <row r="161" spans="1:19" ht="24" customHeight="1">
      <c r="A161" s="12"/>
      <c r="E161" s="25"/>
      <c r="F161" s="25"/>
      <c r="G161" s="25"/>
      <c r="H161" s="25"/>
      <c r="I161" s="25"/>
      <c r="J161" s="25"/>
      <c r="K161" s="25"/>
      <c r="M161" s="23"/>
      <c r="N161" s="23"/>
      <c r="O161" s="23"/>
      <c r="P161" s="23"/>
      <c r="Q161" s="23"/>
      <c r="R161" s="23"/>
      <c r="S161" s="23"/>
    </row>
    <row r="162" spans="1:19" ht="24" customHeight="1">
      <c r="A162" s="71" t="s">
        <v>172</v>
      </c>
      <c r="M162" s="23"/>
      <c r="N162" s="23"/>
      <c r="O162" s="23"/>
      <c r="P162" s="23"/>
      <c r="Q162" s="23"/>
      <c r="R162" s="23"/>
      <c r="S162" s="23"/>
    </row>
    <row r="163" spans="1:19" ht="24" customHeight="1">
      <c r="K163" s="59" t="s">
        <v>139</v>
      </c>
      <c r="M163" s="23"/>
      <c r="N163" s="23"/>
      <c r="O163" s="23"/>
      <c r="P163" s="23"/>
      <c r="Q163" s="23"/>
      <c r="R163" s="23"/>
      <c r="S163" s="23"/>
    </row>
    <row r="164" spans="1:19" ht="24" customHeight="1">
      <c r="A164" s="67" t="s">
        <v>180</v>
      </c>
      <c r="B164" s="9"/>
      <c r="C164" s="10"/>
      <c r="D164" s="10"/>
      <c r="E164" s="11"/>
      <c r="F164" s="9"/>
      <c r="G164" s="11"/>
      <c r="H164" s="9"/>
      <c r="I164" s="11"/>
      <c r="J164" s="9"/>
      <c r="K164" s="11"/>
      <c r="M164" s="23"/>
      <c r="N164" s="23"/>
      <c r="O164" s="23"/>
      <c r="P164" s="23"/>
      <c r="Q164" s="23"/>
      <c r="R164" s="23"/>
      <c r="S164" s="23"/>
    </row>
    <row r="165" spans="1:19" ht="24" customHeight="1">
      <c r="A165" s="108" t="s">
        <v>179</v>
      </c>
      <c r="B165" s="9"/>
      <c r="C165" s="10"/>
      <c r="D165" s="10"/>
      <c r="E165" s="11"/>
      <c r="F165" s="9"/>
      <c r="G165" s="11"/>
      <c r="H165" s="9"/>
      <c r="I165" s="11"/>
      <c r="J165" s="9"/>
      <c r="K165" s="11"/>
      <c r="M165" s="23"/>
      <c r="N165" s="23"/>
      <c r="O165" s="23"/>
      <c r="P165" s="23"/>
      <c r="Q165" s="23"/>
      <c r="R165" s="23"/>
      <c r="S165" s="23"/>
    </row>
    <row r="166" spans="1:19" ht="24" customHeight="1">
      <c r="A166" s="58" t="s">
        <v>12</v>
      </c>
      <c r="B166" s="9"/>
      <c r="C166" s="10"/>
      <c r="D166" s="10"/>
      <c r="E166" s="11"/>
      <c r="F166" s="9"/>
      <c r="G166" s="11"/>
      <c r="H166" s="9"/>
      <c r="I166" s="11"/>
      <c r="J166" s="29"/>
      <c r="K166" s="11"/>
      <c r="M166" s="23"/>
      <c r="N166" s="23"/>
      <c r="O166" s="23"/>
      <c r="P166" s="23"/>
      <c r="Q166" s="23"/>
      <c r="R166" s="23"/>
      <c r="S166" s="23"/>
    </row>
    <row r="167" spans="1:19" ht="24" customHeight="1">
      <c r="A167" s="58" t="s">
        <v>163</v>
      </c>
      <c r="B167" s="9"/>
      <c r="C167" s="10"/>
      <c r="D167" s="10"/>
      <c r="E167" s="11"/>
      <c r="F167" s="9"/>
      <c r="G167" s="11"/>
      <c r="H167" s="9"/>
      <c r="I167" s="11"/>
      <c r="J167" s="9"/>
      <c r="K167" s="11"/>
      <c r="M167" s="23"/>
      <c r="N167" s="23"/>
      <c r="O167" s="23"/>
      <c r="P167" s="23"/>
      <c r="Q167" s="23"/>
      <c r="R167" s="23"/>
      <c r="S167" s="23"/>
    </row>
    <row r="168" spans="1:19" ht="24" customHeight="1">
      <c r="B168" s="149" t="s">
        <v>36</v>
      </c>
      <c r="C168" s="149"/>
      <c r="D168" s="149"/>
      <c r="E168" s="149"/>
      <c r="F168" s="149"/>
      <c r="G168" s="149"/>
      <c r="H168" s="149"/>
      <c r="I168" s="149"/>
      <c r="J168" s="149"/>
      <c r="K168" s="149"/>
      <c r="M168" s="23"/>
      <c r="N168" s="23"/>
      <c r="O168" s="23"/>
      <c r="P168" s="23"/>
      <c r="Q168" s="23"/>
      <c r="R168" s="23"/>
      <c r="S168" s="23"/>
    </row>
    <row r="169" spans="1:19" s="12" customFormat="1" ht="24" customHeight="1">
      <c r="C169" s="13"/>
      <c r="D169" s="13"/>
      <c r="E169" s="148" t="s">
        <v>0</v>
      </c>
      <c r="F169" s="148"/>
      <c r="G169" s="148"/>
      <c r="H169" s="14"/>
      <c r="I169" s="148" t="s">
        <v>31</v>
      </c>
      <c r="J169" s="148"/>
      <c r="K169" s="148"/>
      <c r="M169" s="142"/>
      <c r="N169" s="142"/>
      <c r="O169" s="142"/>
      <c r="P169" s="142"/>
      <c r="Q169" s="142"/>
      <c r="R169" s="142"/>
      <c r="S169" s="142"/>
    </row>
    <row r="170" spans="1:19" ht="24" customHeight="1">
      <c r="C170" s="15"/>
      <c r="D170" s="24"/>
      <c r="E170" s="16">
        <v>2563</v>
      </c>
      <c r="F170" s="16"/>
      <c r="G170" s="16">
        <v>2562</v>
      </c>
      <c r="H170" s="17"/>
      <c r="I170" s="16">
        <v>2563</v>
      </c>
      <c r="J170" s="16"/>
      <c r="K170" s="16">
        <v>2562</v>
      </c>
      <c r="M170" s="23"/>
      <c r="N170" s="23"/>
      <c r="O170" s="23"/>
      <c r="P170" s="23"/>
      <c r="Q170" s="23"/>
      <c r="R170" s="23"/>
      <c r="S170" s="23"/>
    </row>
    <row r="171" spans="1:19" ht="24" customHeight="1">
      <c r="A171" s="12" t="s">
        <v>32</v>
      </c>
      <c r="B171" s="12"/>
      <c r="E171" s="33"/>
      <c r="F171" s="23"/>
      <c r="G171" s="33"/>
      <c r="H171" s="17"/>
      <c r="I171" s="16"/>
      <c r="J171" s="16"/>
      <c r="K171" s="16"/>
      <c r="M171" s="23"/>
      <c r="N171" s="23"/>
      <c r="O171" s="23"/>
      <c r="P171" s="23"/>
      <c r="Q171" s="23"/>
      <c r="R171" s="23"/>
      <c r="S171" s="23"/>
    </row>
    <row r="172" spans="1:19" ht="24" customHeight="1">
      <c r="A172" s="5" t="s">
        <v>210</v>
      </c>
      <c r="B172" s="21"/>
      <c r="E172" s="25">
        <v>1977</v>
      </c>
      <c r="F172" s="25"/>
      <c r="G172" s="25">
        <v>-45039</v>
      </c>
      <c r="H172" s="25"/>
      <c r="I172" s="25">
        <v>1978</v>
      </c>
      <c r="J172" s="25"/>
      <c r="K172" s="25">
        <v>-45040</v>
      </c>
      <c r="M172" s="23"/>
      <c r="N172" s="23"/>
      <c r="O172" s="23"/>
      <c r="P172" s="23"/>
      <c r="Q172" s="23"/>
      <c r="R172" s="23"/>
      <c r="S172" s="23"/>
    </row>
    <row r="173" spans="1:19" ht="24" customHeight="1">
      <c r="A173" s="5" t="s">
        <v>201</v>
      </c>
      <c r="B173" s="21"/>
      <c r="E173" s="25">
        <v>1958</v>
      </c>
      <c r="F173" s="25"/>
      <c r="G173" s="25">
        <v>1735</v>
      </c>
      <c r="H173" s="25"/>
      <c r="I173" s="25">
        <v>1958</v>
      </c>
      <c r="J173" s="25"/>
      <c r="K173" s="25">
        <v>1735</v>
      </c>
      <c r="M173" s="23"/>
      <c r="N173" s="23"/>
      <c r="O173" s="23"/>
      <c r="P173" s="23"/>
      <c r="Q173" s="23"/>
      <c r="R173" s="23"/>
      <c r="S173" s="23"/>
    </row>
    <row r="174" spans="1:19" ht="24" customHeight="1">
      <c r="A174" s="5" t="s">
        <v>158</v>
      </c>
      <c r="E174" s="133">
        <v>0</v>
      </c>
      <c r="F174" s="25"/>
      <c r="G174" s="25">
        <v>0</v>
      </c>
      <c r="H174" s="25"/>
      <c r="I174" s="133">
        <v>0</v>
      </c>
      <c r="J174" s="25"/>
      <c r="K174" s="25">
        <v>-2366</v>
      </c>
      <c r="M174" s="23"/>
      <c r="N174" s="23"/>
      <c r="O174" s="23"/>
      <c r="P174" s="23"/>
      <c r="Q174" s="23"/>
      <c r="R174" s="23"/>
      <c r="S174" s="23"/>
    </row>
    <row r="175" spans="1:19" ht="24" customHeight="1">
      <c r="A175" s="5" t="s">
        <v>98</v>
      </c>
      <c r="E175" s="25">
        <v>-5137</v>
      </c>
      <c r="F175" s="25"/>
      <c r="G175" s="25">
        <v>-62103</v>
      </c>
      <c r="H175" s="25"/>
      <c r="I175" s="25">
        <v>-5020</v>
      </c>
      <c r="J175" s="25"/>
      <c r="K175" s="25">
        <v>-61067</v>
      </c>
      <c r="M175" s="23"/>
      <c r="N175" s="23"/>
      <c r="O175" s="23"/>
      <c r="P175" s="23"/>
      <c r="Q175" s="23"/>
      <c r="R175" s="23"/>
      <c r="S175" s="23"/>
    </row>
    <row r="176" spans="1:19" ht="24" customHeight="1">
      <c r="A176" s="5" t="s">
        <v>143</v>
      </c>
      <c r="E176" s="25">
        <v>1104</v>
      </c>
      <c r="F176" s="25"/>
      <c r="G176" s="25">
        <v>76357</v>
      </c>
      <c r="H176" s="25"/>
      <c r="I176" s="25">
        <v>1104</v>
      </c>
      <c r="J176" s="25"/>
      <c r="K176" s="25">
        <v>76357</v>
      </c>
      <c r="M176" s="23"/>
      <c r="N176" s="23"/>
      <c r="O176" s="23"/>
      <c r="P176" s="23"/>
      <c r="Q176" s="23"/>
      <c r="R176" s="23"/>
      <c r="S176" s="23"/>
    </row>
    <row r="177" spans="1:19" ht="24" customHeight="1">
      <c r="A177" s="5" t="s">
        <v>67</v>
      </c>
      <c r="E177" s="25">
        <v>-217</v>
      </c>
      <c r="F177" s="25"/>
      <c r="G177" s="25">
        <v>-632</v>
      </c>
      <c r="H177" s="25"/>
      <c r="I177" s="25">
        <v>-217</v>
      </c>
      <c r="J177" s="25"/>
      <c r="K177" s="25">
        <v>-632</v>
      </c>
      <c r="M177" s="23"/>
      <c r="N177" s="23"/>
      <c r="O177" s="23"/>
      <c r="P177" s="23"/>
      <c r="Q177" s="23"/>
      <c r="R177" s="23"/>
      <c r="S177" s="23"/>
    </row>
    <row r="178" spans="1:19" ht="24" customHeight="1">
      <c r="A178" s="12" t="s">
        <v>162</v>
      </c>
      <c r="C178" s="34"/>
      <c r="D178" s="34"/>
      <c r="E178" s="32">
        <f>SUM(E172:E177)</f>
        <v>-315</v>
      </c>
      <c r="F178" s="25"/>
      <c r="G178" s="32">
        <f>SUM(G172:G177)</f>
        <v>-29682</v>
      </c>
      <c r="H178" s="25"/>
      <c r="I178" s="32">
        <f>SUM(I172:I177)</f>
        <v>-197</v>
      </c>
      <c r="J178" s="25"/>
      <c r="K178" s="32">
        <f>SUM(K172:K177)</f>
        <v>-31013</v>
      </c>
      <c r="M178" s="23"/>
      <c r="N178" s="23"/>
      <c r="O178" s="23"/>
      <c r="P178" s="23"/>
      <c r="Q178" s="23"/>
      <c r="R178" s="23"/>
      <c r="S178" s="23"/>
    </row>
    <row r="179" spans="1:19" ht="24" customHeight="1">
      <c r="A179" s="12" t="s">
        <v>34</v>
      </c>
      <c r="B179" s="12"/>
      <c r="E179" s="36"/>
      <c r="F179" s="36"/>
      <c r="G179" s="36"/>
      <c r="H179" s="36"/>
      <c r="I179" s="36"/>
      <c r="J179" s="36"/>
      <c r="K179" s="36"/>
      <c r="M179" s="23"/>
      <c r="N179" s="23"/>
      <c r="O179" s="23"/>
      <c r="P179" s="23"/>
      <c r="Q179" s="23"/>
      <c r="R179" s="23"/>
      <c r="S179" s="23"/>
    </row>
    <row r="180" spans="1:19" ht="24" customHeight="1">
      <c r="A180" s="5" t="s">
        <v>202</v>
      </c>
      <c r="E180" s="25">
        <v>-13907</v>
      </c>
      <c r="F180" s="25"/>
      <c r="G180" s="25">
        <v>30999</v>
      </c>
      <c r="H180" s="25"/>
      <c r="I180" s="25">
        <v>-13907</v>
      </c>
      <c r="J180" s="25"/>
      <c r="K180" s="25">
        <v>30999</v>
      </c>
      <c r="M180" s="23"/>
      <c r="N180" s="23"/>
      <c r="O180" s="23"/>
      <c r="P180" s="23"/>
      <c r="Q180" s="23"/>
      <c r="R180" s="23"/>
      <c r="S180" s="23"/>
    </row>
    <row r="181" spans="1:19" ht="24" customHeight="1">
      <c r="A181" s="5" t="s">
        <v>198</v>
      </c>
      <c r="E181" s="25">
        <v>-18734</v>
      </c>
      <c r="F181" s="25"/>
      <c r="G181" s="25">
        <v>186512</v>
      </c>
      <c r="H181" s="25"/>
      <c r="I181" s="25">
        <v>-18734</v>
      </c>
      <c r="J181" s="25"/>
      <c r="K181" s="25">
        <v>177512</v>
      </c>
      <c r="M181" s="23"/>
      <c r="N181" s="23"/>
      <c r="O181" s="23"/>
      <c r="P181" s="23"/>
      <c r="Q181" s="23"/>
      <c r="R181" s="23"/>
      <c r="S181" s="23"/>
    </row>
    <row r="182" spans="1:19" s="126" customFormat="1" ht="24" customHeight="1">
      <c r="A182" s="126" t="s">
        <v>212</v>
      </c>
      <c r="C182" s="114"/>
      <c r="D182" s="114"/>
      <c r="E182" s="133">
        <v>15395</v>
      </c>
      <c r="F182" s="133"/>
      <c r="G182" s="133">
        <v>0</v>
      </c>
      <c r="H182" s="133"/>
      <c r="I182" s="133">
        <v>15395</v>
      </c>
      <c r="J182" s="133"/>
      <c r="K182" s="133">
        <v>0</v>
      </c>
      <c r="M182" s="23"/>
      <c r="N182" s="23"/>
      <c r="O182" s="23"/>
      <c r="P182" s="23"/>
      <c r="Q182" s="23"/>
      <c r="R182" s="23"/>
      <c r="S182" s="23"/>
    </row>
    <row r="183" spans="1:19" ht="24" customHeight="1">
      <c r="A183" s="112" t="s">
        <v>183</v>
      </c>
      <c r="E183" s="25">
        <v>-56032</v>
      </c>
      <c r="F183" s="25"/>
      <c r="G183" s="25">
        <v>-80379</v>
      </c>
      <c r="H183" s="25"/>
      <c r="I183" s="25">
        <v>-56032</v>
      </c>
      <c r="J183" s="25"/>
      <c r="K183" s="25">
        <v>-80379</v>
      </c>
      <c r="M183" s="23"/>
      <c r="N183" s="23"/>
      <c r="O183" s="23"/>
      <c r="P183" s="23"/>
      <c r="Q183" s="23"/>
      <c r="R183" s="23"/>
      <c r="S183" s="23"/>
    </row>
    <row r="184" spans="1:19" ht="24" customHeight="1">
      <c r="A184" s="5" t="s">
        <v>151</v>
      </c>
      <c r="E184" s="3">
        <v>44600</v>
      </c>
      <c r="F184" s="3"/>
      <c r="G184" s="3">
        <v>92459</v>
      </c>
      <c r="H184" s="3"/>
      <c r="I184" s="25">
        <v>44600</v>
      </c>
      <c r="J184" s="25"/>
      <c r="K184" s="25">
        <v>92459</v>
      </c>
      <c r="M184" s="23"/>
      <c r="N184" s="23"/>
      <c r="O184" s="23"/>
      <c r="P184" s="23"/>
      <c r="Q184" s="23"/>
      <c r="R184" s="23"/>
      <c r="S184" s="23"/>
    </row>
    <row r="185" spans="1:19" ht="24" customHeight="1">
      <c r="A185" s="5" t="s">
        <v>149</v>
      </c>
      <c r="E185" s="3">
        <v>-103762</v>
      </c>
      <c r="F185" s="3"/>
      <c r="G185" s="3">
        <v>-36190</v>
      </c>
      <c r="H185" s="3"/>
      <c r="I185" s="25">
        <v>-103762</v>
      </c>
      <c r="J185" s="25"/>
      <c r="K185" s="25">
        <v>-36190</v>
      </c>
      <c r="M185" s="23"/>
      <c r="N185" s="23"/>
      <c r="O185" s="23"/>
      <c r="P185" s="23"/>
      <c r="Q185" s="23"/>
      <c r="R185" s="23"/>
      <c r="S185" s="23"/>
    </row>
    <row r="186" spans="1:19" ht="24" customHeight="1">
      <c r="A186" s="5" t="s">
        <v>203</v>
      </c>
      <c r="E186" s="3">
        <v>-36449</v>
      </c>
      <c r="F186" s="3"/>
      <c r="G186" s="3">
        <v>-31321</v>
      </c>
      <c r="H186" s="25"/>
      <c r="I186" s="25">
        <v>-36215</v>
      </c>
      <c r="J186" s="25"/>
      <c r="K186" s="25">
        <v>-29654</v>
      </c>
      <c r="M186" s="23"/>
      <c r="N186" s="23"/>
      <c r="O186" s="23"/>
      <c r="P186" s="23"/>
      <c r="Q186" s="23"/>
      <c r="R186" s="23"/>
      <c r="S186" s="23"/>
    </row>
    <row r="187" spans="1:19" ht="24" customHeight="1">
      <c r="A187" s="12" t="s">
        <v>204</v>
      </c>
      <c r="E187" s="8">
        <f>SUM(E180:E186)</f>
        <v>-168889</v>
      </c>
      <c r="F187" s="3"/>
      <c r="G187" s="8">
        <f>SUM(G180:G186)</f>
        <v>162080</v>
      </c>
      <c r="H187" s="3"/>
      <c r="I187" s="8">
        <f>SUM(I180:I186)</f>
        <v>-168655</v>
      </c>
      <c r="J187" s="25"/>
      <c r="K187" s="8">
        <f>SUM(K180:K186)</f>
        <v>154747</v>
      </c>
      <c r="M187" s="23"/>
      <c r="N187" s="23"/>
      <c r="O187" s="23"/>
      <c r="P187" s="23"/>
      <c r="Q187" s="23"/>
      <c r="R187" s="23"/>
      <c r="S187" s="23"/>
    </row>
    <row r="188" spans="1:19" ht="24" customHeight="1">
      <c r="A188" s="12" t="s">
        <v>205</v>
      </c>
      <c r="E188" s="56">
        <v>466</v>
      </c>
      <c r="F188" s="3"/>
      <c r="G188" s="56">
        <v>-217</v>
      </c>
      <c r="H188" s="3"/>
      <c r="I188" s="56">
        <v>0</v>
      </c>
      <c r="J188" s="25"/>
      <c r="K188" s="56">
        <v>0</v>
      </c>
      <c r="M188" s="23"/>
      <c r="N188" s="23"/>
      <c r="O188" s="23"/>
      <c r="P188" s="23"/>
      <c r="Q188" s="23"/>
      <c r="R188" s="23"/>
      <c r="S188" s="23"/>
    </row>
    <row r="189" spans="1:19" ht="24" customHeight="1">
      <c r="A189" s="12" t="s">
        <v>148</v>
      </c>
      <c r="E189" s="52">
        <f>E160+E178+E187+E188</f>
        <v>-13086</v>
      </c>
      <c r="F189" s="40"/>
      <c r="G189" s="52">
        <f>G160+G178+G187+G188</f>
        <v>4180</v>
      </c>
      <c r="H189" s="40">
        <f>H160+H178+H187</f>
        <v>0</v>
      </c>
      <c r="I189" s="52">
        <f>I160+I178+I187+I188</f>
        <v>-16111</v>
      </c>
      <c r="J189" s="40">
        <f>J160+J178+J187</f>
        <v>0</v>
      </c>
      <c r="K189" s="52">
        <f>K160+K178+K187+K188</f>
        <v>-4122</v>
      </c>
      <c r="M189" s="23"/>
      <c r="N189" s="23"/>
      <c r="O189" s="23"/>
      <c r="P189" s="23"/>
      <c r="Q189" s="23"/>
      <c r="R189" s="23"/>
      <c r="S189" s="23"/>
    </row>
    <row r="190" spans="1:19" ht="24" customHeight="1">
      <c r="A190" s="5" t="s">
        <v>63</v>
      </c>
      <c r="E190" s="20">
        <f>SUM('BS '!F12)</f>
        <v>52159</v>
      </c>
      <c r="F190" s="40"/>
      <c r="G190" s="20">
        <v>36652</v>
      </c>
      <c r="H190" s="40"/>
      <c r="I190" s="20">
        <f>SUM('BS '!J12)</f>
        <v>50363</v>
      </c>
      <c r="J190" s="40"/>
      <c r="K190" s="20">
        <v>34373</v>
      </c>
      <c r="M190" s="23"/>
      <c r="N190" s="23"/>
      <c r="O190" s="23"/>
      <c r="P190" s="23"/>
      <c r="Q190" s="23"/>
      <c r="R190" s="23"/>
      <c r="S190" s="23"/>
    </row>
    <row r="191" spans="1:19" ht="24" customHeight="1" thickBot="1">
      <c r="A191" s="12" t="s">
        <v>62</v>
      </c>
      <c r="E191" s="41">
        <f>SUM(E189:E190)</f>
        <v>39073</v>
      </c>
      <c r="F191" s="40"/>
      <c r="G191" s="41">
        <f>SUM(G189:G190)</f>
        <v>40832</v>
      </c>
      <c r="H191" s="40"/>
      <c r="I191" s="41">
        <f>SUM(I189:I190)</f>
        <v>34252</v>
      </c>
      <c r="J191" s="40"/>
      <c r="K191" s="41">
        <f>SUM(K189:K190)</f>
        <v>30251</v>
      </c>
      <c r="M191" s="23"/>
      <c r="N191" s="23"/>
      <c r="O191" s="23"/>
      <c r="P191" s="23"/>
      <c r="Q191" s="23"/>
      <c r="R191" s="23"/>
      <c r="S191" s="23"/>
    </row>
    <row r="192" spans="1:19" ht="24" customHeight="1" thickTop="1">
      <c r="E192" s="35">
        <f>+E191-'BS '!D12</f>
        <v>0</v>
      </c>
      <c r="F192" s="43"/>
      <c r="G192" s="35">
        <f>G191-40832</f>
        <v>0</v>
      </c>
      <c r="H192" s="43"/>
      <c r="I192" s="35">
        <f>+I191-'BS '!H12</f>
        <v>0</v>
      </c>
      <c r="J192" s="43"/>
      <c r="K192" s="35">
        <f>K191-30251</f>
        <v>0</v>
      </c>
    </row>
    <row r="193" spans="1:11" ht="24" customHeight="1">
      <c r="A193" s="12" t="s">
        <v>26</v>
      </c>
      <c r="E193" s="36"/>
      <c r="F193" s="36"/>
      <c r="G193" s="36"/>
      <c r="H193" s="36"/>
      <c r="I193" s="36"/>
      <c r="J193" s="36"/>
      <c r="K193" s="36"/>
    </row>
    <row r="194" spans="1:11" ht="24" customHeight="1">
      <c r="A194" s="5" t="s">
        <v>50</v>
      </c>
      <c r="E194" s="5"/>
      <c r="F194" s="36"/>
      <c r="G194" s="5"/>
      <c r="H194" s="36"/>
      <c r="I194" s="27"/>
      <c r="J194" s="36"/>
      <c r="K194" s="27"/>
    </row>
    <row r="195" spans="1:11" ht="24" customHeight="1">
      <c r="A195" s="120" t="s">
        <v>185</v>
      </c>
      <c r="E195" s="27">
        <v>17630</v>
      </c>
      <c r="F195" s="27"/>
      <c r="G195" s="27">
        <v>96383</v>
      </c>
      <c r="H195" s="27"/>
      <c r="I195" s="27">
        <v>17630</v>
      </c>
      <c r="J195" s="27"/>
      <c r="K195" s="27">
        <v>96383</v>
      </c>
    </row>
    <row r="196" spans="1:11" s="126" customFormat="1" ht="24" customHeight="1">
      <c r="A196" s="126" t="s">
        <v>206</v>
      </c>
      <c r="C196" s="114"/>
      <c r="D196" s="114"/>
      <c r="E196" s="135">
        <v>12977</v>
      </c>
      <c r="F196" s="135"/>
      <c r="G196" s="135">
        <v>0</v>
      </c>
      <c r="H196" s="135"/>
      <c r="I196" s="135">
        <v>12977</v>
      </c>
      <c r="J196" s="135"/>
      <c r="K196" s="135">
        <v>0</v>
      </c>
    </row>
    <row r="198" spans="1:11" ht="24" customHeight="1">
      <c r="A198" s="71" t="s">
        <v>172</v>
      </c>
    </row>
  </sheetData>
  <customSheetViews>
    <customSheetView guid="{70B1E187-2C74-4CE5-B1A1-8B33C5B641E8}" showPageBreaks="1" showGridLines="0" printArea="1" showRuler="0" topLeftCell="A242">
      <selection activeCell="I258" sqref="I258"/>
      <rowBreaks count="5" manualBreakCount="5">
        <brk id="48" max="9" man="1"/>
        <brk id="89" max="16383" man="1"/>
        <brk id="122" max="10" man="1"/>
        <brk id="170" max="10" man="1"/>
        <brk id="216" max="10" man="1"/>
      </rowBreaks>
      <pageMargins left="0.98425196850393704" right="0.39370078740157483" top="0.39370078740157483" bottom="0.39370078740157483" header="0.19685039370078741" footer="0.19685039370078741"/>
      <printOptions horizontalCentered="1"/>
      <pageSetup scale="72" orientation="portrait" r:id="rId1"/>
      <headerFooter alignWithMargins="0"/>
    </customSheetView>
  </customSheetViews>
  <mergeCells count="19">
    <mergeCell ref="B6:K6"/>
    <mergeCell ref="B42:K42"/>
    <mergeCell ref="B64:K64"/>
    <mergeCell ref="B103:K103"/>
    <mergeCell ref="E7:G7"/>
    <mergeCell ref="I7:K7"/>
    <mergeCell ref="E43:G43"/>
    <mergeCell ref="I43:K43"/>
    <mergeCell ref="E65:G65"/>
    <mergeCell ref="I65:K65"/>
    <mergeCell ref="M64:N64"/>
    <mergeCell ref="E126:G126"/>
    <mergeCell ref="I126:K126"/>
    <mergeCell ref="E169:G169"/>
    <mergeCell ref="I169:K169"/>
    <mergeCell ref="B125:K125"/>
    <mergeCell ref="B168:K168"/>
    <mergeCell ref="E104:G104"/>
    <mergeCell ref="I104:K104"/>
  </mergeCells>
  <phoneticPr fontId="0" type="noConversion"/>
  <printOptions horizontalCentered="1" gridLinesSet="0"/>
  <pageMargins left="0.69" right="0.23622047244094499" top="0.75" bottom="0.19" header="0.196850393700787" footer="0.196850393700787"/>
  <pageSetup paperSize="9" scale="75" fitToHeight="6" orientation="portrait" r:id="rId2"/>
  <headerFooter alignWithMargins="0"/>
  <rowBreaks count="5" manualBreakCount="5">
    <brk id="36" max="10" man="1"/>
    <brk id="58" max="10" man="1"/>
    <brk id="97" max="10" man="1"/>
    <brk id="119" max="10" man="1"/>
    <brk id="162" max="10" man="1"/>
  </rowBreaks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253"/>
  <sheetViews>
    <sheetView showGridLines="0" view="pageBreakPreview" zoomScale="55" zoomScaleNormal="85" zoomScaleSheetLayoutView="55" workbookViewId="0">
      <selection activeCell="A15" sqref="A15"/>
    </sheetView>
  </sheetViews>
  <sheetFormatPr defaultColWidth="9.140625" defaultRowHeight="24" customHeight="1"/>
  <cols>
    <col min="1" max="1" width="19.42578125" style="4" customWidth="1"/>
    <col min="2" max="2" width="19" style="2" customWidth="1"/>
    <col min="3" max="3" width="15.7109375" style="2" customWidth="1"/>
    <col min="4" max="4" width="1.140625" style="2" customWidth="1"/>
    <col min="5" max="5" width="15.7109375" style="2" customWidth="1"/>
    <col min="6" max="6" width="1.140625" style="2" customWidth="1"/>
    <col min="7" max="7" width="15.7109375" style="2" customWidth="1"/>
    <col min="8" max="8" width="1.140625" style="2" customWidth="1"/>
    <col min="9" max="9" width="15.7109375" style="2" customWidth="1"/>
    <col min="10" max="10" width="1.140625" style="6" customWidth="1"/>
    <col min="11" max="11" width="21.5703125" style="2" customWidth="1"/>
    <col min="12" max="12" width="1.140625" style="2" customWidth="1"/>
    <col min="13" max="13" width="16.5703125" style="2" customWidth="1"/>
    <col min="14" max="14" width="1.140625" style="2" customWidth="1"/>
    <col min="15" max="15" width="16.5703125" style="2" customWidth="1"/>
    <col min="16" max="16" width="1.140625" style="2" customWidth="1"/>
    <col min="17" max="17" width="16.5703125" style="2" customWidth="1"/>
    <col min="18" max="18" width="1.140625" style="2" customWidth="1"/>
    <col min="19" max="19" width="16.5703125" style="2" customWidth="1"/>
    <col min="20" max="20" width="1.140625" style="2" customWidth="1"/>
    <col min="21" max="21" width="16.5703125" style="2" customWidth="1"/>
    <col min="22" max="16384" width="9.140625" style="2"/>
  </cols>
  <sheetData>
    <row r="1" spans="1:21" ht="24" customHeight="1">
      <c r="U1" s="55" t="s">
        <v>139</v>
      </c>
    </row>
    <row r="2" spans="1:21" ht="24" customHeight="1">
      <c r="A2" s="151" t="s">
        <v>180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  <c r="T2" s="151"/>
      <c r="U2" s="151"/>
    </row>
    <row r="3" spans="1:21" ht="24" customHeight="1">
      <c r="A3" s="108" t="s">
        <v>179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</row>
    <row r="4" spans="1:21" ht="24" customHeight="1">
      <c r="A4" s="151" t="s">
        <v>25</v>
      </c>
      <c r="B4" s="151"/>
      <c r="C4" s="151"/>
      <c r="D4" s="151"/>
      <c r="E4" s="151"/>
      <c r="F4" s="151"/>
      <c r="G4" s="151"/>
      <c r="H4" s="151"/>
      <c r="I4" s="151"/>
      <c r="J4" s="151"/>
      <c r="K4" s="151"/>
      <c r="L4" s="151"/>
      <c r="M4" s="151"/>
      <c r="N4" s="151"/>
      <c r="O4" s="151"/>
      <c r="P4" s="151"/>
      <c r="Q4" s="151"/>
      <c r="R4" s="151"/>
      <c r="S4" s="151"/>
      <c r="T4" s="151"/>
      <c r="U4" s="151"/>
    </row>
    <row r="5" spans="1:21" ht="24" customHeight="1">
      <c r="A5" s="151" t="s">
        <v>163</v>
      </c>
      <c r="B5" s="151"/>
      <c r="C5" s="151"/>
      <c r="D5" s="151"/>
      <c r="E5" s="151"/>
      <c r="F5" s="151"/>
      <c r="G5" s="151"/>
      <c r="H5" s="151"/>
      <c r="I5" s="151"/>
      <c r="J5" s="151"/>
      <c r="K5" s="151"/>
      <c r="L5" s="151"/>
      <c r="M5" s="151"/>
      <c r="N5" s="151"/>
      <c r="O5" s="151"/>
      <c r="P5" s="151"/>
      <c r="Q5" s="151"/>
      <c r="R5" s="151"/>
      <c r="S5" s="151"/>
      <c r="T5" s="151"/>
      <c r="U5" s="151"/>
    </row>
    <row r="6" spans="1:21" ht="24" customHeight="1">
      <c r="A6" s="152" t="s">
        <v>36</v>
      </c>
      <c r="B6" s="152"/>
      <c r="C6" s="152"/>
      <c r="D6" s="152"/>
      <c r="E6" s="152"/>
      <c r="F6" s="152"/>
      <c r="G6" s="152"/>
      <c r="H6" s="152"/>
      <c r="I6" s="152"/>
      <c r="J6" s="152"/>
      <c r="K6" s="152"/>
      <c r="L6" s="152"/>
      <c r="M6" s="152"/>
      <c r="N6" s="152"/>
      <c r="O6" s="152"/>
      <c r="P6" s="152"/>
      <c r="Q6" s="152"/>
      <c r="R6" s="152"/>
      <c r="S6" s="152"/>
      <c r="T6" s="152"/>
      <c r="U6" s="152"/>
    </row>
    <row r="7" spans="1:21" ht="24" customHeight="1">
      <c r="A7" s="18"/>
      <c r="B7" s="7"/>
      <c r="C7" s="153" t="s">
        <v>0</v>
      </c>
      <c r="D7" s="153"/>
      <c r="E7" s="153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</row>
    <row r="8" spans="1:21" ht="24" customHeight="1">
      <c r="A8" s="18"/>
      <c r="B8" s="7"/>
      <c r="C8" s="154" t="s">
        <v>37</v>
      </c>
      <c r="D8" s="154"/>
      <c r="E8" s="154"/>
      <c r="F8" s="154"/>
      <c r="G8" s="154"/>
      <c r="H8" s="154"/>
      <c r="I8" s="154"/>
      <c r="J8" s="154"/>
      <c r="K8" s="154"/>
      <c r="L8" s="154"/>
      <c r="M8" s="154"/>
      <c r="N8" s="154"/>
      <c r="O8" s="154"/>
      <c r="P8" s="154"/>
      <c r="Q8" s="154"/>
      <c r="R8" s="53"/>
      <c r="S8" s="53"/>
      <c r="T8" s="53"/>
      <c r="U8" s="39"/>
    </row>
    <row r="9" spans="1:21" ht="24" customHeight="1">
      <c r="A9" s="18"/>
      <c r="B9" s="7"/>
      <c r="C9" s="53"/>
      <c r="D9" s="53"/>
      <c r="E9" s="53"/>
      <c r="F9" s="53"/>
      <c r="G9" s="53"/>
      <c r="H9" s="53"/>
      <c r="I9" s="53"/>
      <c r="J9" s="53"/>
      <c r="K9" s="150" t="s">
        <v>74</v>
      </c>
      <c r="L9" s="150"/>
      <c r="M9" s="150"/>
      <c r="N9" s="150"/>
      <c r="O9" s="150"/>
      <c r="P9" s="53"/>
      <c r="Q9" s="53"/>
      <c r="R9" s="53"/>
      <c r="S9" s="53" t="s">
        <v>134</v>
      </c>
      <c r="T9" s="53"/>
      <c r="U9" s="39"/>
    </row>
    <row r="10" spans="1:21" ht="24" customHeight="1">
      <c r="A10" s="18"/>
      <c r="B10" s="7"/>
      <c r="C10" s="53"/>
      <c r="D10" s="53"/>
      <c r="E10" s="53"/>
      <c r="F10" s="53"/>
      <c r="G10" s="53"/>
      <c r="H10" s="53"/>
      <c r="I10" s="53"/>
      <c r="J10" s="53"/>
      <c r="K10" s="57" t="s">
        <v>127</v>
      </c>
      <c r="L10" s="53"/>
      <c r="M10" s="53"/>
      <c r="N10" s="53"/>
      <c r="O10" s="53"/>
      <c r="P10" s="53"/>
      <c r="Q10" s="53"/>
      <c r="R10" s="53"/>
      <c r="S10" s="53" t="s">
        <v>135</v>
      </c>
      <c r="T10" s="53"/>
      <c r="U10" s="39"/>
    </row>
    <row r="11" spans="1:21" ht="24" customHeight="1">
      <c r="A11" s="18"/>
      <c r="B11" s="7"/>
      <c r="C11" s="7" t="s">
        <v>80</v>
      </c>
      <c r="D11" s="53"/>
      <c r="E11" s="53"/>
      <c r="F11" s="53"/>
      <c r="G11" s="53"/>
      <c r="H11" s="53"/>
      <c r="I11" s="53"/>
      <c r="J11" s="53"/>
      <c r="K11" s="53" t="s">
        <v>128</v>
      </c>
      <c r="L11" s="6"/>
      <c r="M11" s="6"/>
      <c r="N11" s="6"/>
      <c r="O11" s="53" t="s">
        <v>13</v>
      </c>
      <c r="P11" s="53"/>
      <c r="Q11" s="53" t="s">
        <v>13</v>
      </c>
      <c r="R11" s="53"/>
      <c r="S11" s="53" t="s">
        <v>136</v>
      </c>
      <c r="T11" s="53"/>
      <c r="U11" s="39"/>
    </row>
    <row r="12" spans="1:21" s="7" customFormat="1" ht="24" customHeight="1">
      <c r="A12" s="18"/>
      <c r="C12" s="7" t="s">
        <v>140</v>
      </c>
      <c r="E12" s="7" t="s">
        <v>65</v>
      </c>
      <c r="G12" s="150" t="s">
        <v>27</v>
      </c>
      <c r="H12" s="150"/>
      <c r="I12" s="150"/>
      <c r="J12" s="53"/>
      <c r="K12" s="7" t="s">
        <v>129</v>
      </c>
      <c r="M12" s="7" t="s">
        <v>115</v>
      </c>
      <c r="O12" s="7" t="s">
        <v>131</v>
      </c>
      <c r="Q12" s="7" t="s">
        <v>8</v>
      </c>
      <c r="S12" s="7" t="s">
        <v>137</v>
      </c>
      <c r="U12" s="7" t="s">
        <v>13</v>
      </c>
    </row>
    <row r="13" spans="1:21" s="7" customFormat="1" ht="24" customHeight="1">
      <c r="A13" s="18"/>
      <c r="C13" s="57" t="s">
        <v>141</v>
      </c>
      <c r="E13" s="57" t="s">
        <v>64</v>
      </c>
      <c r="G13" s="57" t="s">
        <v>14</v>
      </c>
      <c r="I13" s="57" t="s">
        <v>15</v>
      </c>
      <c r="J13" s="53"/>
      <c r="K13" s="57" t="s">
        <v>130</v>
      </c>
      <c r="M13" s="57" t="s">
        <v>101</v>
      </c>
      <c r="N13" s="53"/>
      <c r="O13" s="57" t="s">
        <v>132</v>
      </c>
      <c r="P13" s="53"/>
      <c r="Q13" s="57" t="s">
        <v>133</v>
      </c>
      <c r="R13" s="53"/>
      <c r="S13" s="57" t="s">
        <v>138</v>
      </c>
      <c r="T13" s="53"/>
      <c r="U13" s="57" t="s">
        <v>8</v>
      </c>
    </row>
    <row r="14" spans="1:21" ht="24" customHeight="1">
      <c r="A14" s="1" t="s">
        <v>152</v>
      </c>
      <c r="C14" s="40">
        <v>400000</v>
      </c>
      <c r="D14" s="40">
        <v>0</v>
      </c>
      <c r="E14" s="40">
        <v>6000</v>
      </c>
      <c r="F14" s="40">
        <v>0</v>
      </c>
      <c r="G14" s="40">
        <v>40000</v>
      </c>
      <c r="H14" s="40">
        <v>0</v>
      </c>
      <c r="I14" s="40">
        <v>6688</v>
      </c>
      <c r="J14" s="40">
        <v>0</v>
      </c>
      <c r="K14" s="40">
        <v>-248</v>
      </c>
      <c r="L14" s="40">
        <v>0</v>
      </c>
      <c r="M14" s="40">
        <v>4303</v>
      </c>
      <c r="N14" s="40"/>
      <c r="O14" s="40">
        <f>SUM(K14:N14)</f>
        <v>4055</v>
      </c>
      <c r="P14" s="40"/>
      <c r="Q14" s="40">
        <f>SUM(O14,C14:I14)</f>
        <v>456743</v>
      </c>
      <c r="R14" s="40"/>
      <c r="S14" s="40">
        <v>20</v>
      </c>
      <c r="T14" s="40"/>
      <c r="U14" s="40">
        <f>SUM(Q14:S14)</f>
        <v>456763</v>
      </c>
    </row>
    <row r="15" spans="1:21" ht="24" customHeight="1">
      <c r="A15" s="119" t="s">
        <v>159</v>
      </c>
      <c r="C15" s="64">
        <v>0</v>
      </c>
      <c r="D15" s="40"/>
      <c r="E15" s="64">
        <v>0</v>
      </c>
      <c r="F15" s="40"/>
      <c r="G15" s="64">
        <v>0</v>
      </c>
      <c r="H15" s="40"/>
      <c r="I15" s="64">
        <v>38492</v>
      </c>
      <c r="J15" s="40"/>
      <c r="K15" s="64">
        <v>0</v>
      </c>
      <c r="L15" s="40"/>
      <c r="M15" s="64">
        <v>0</v>
      </c>
      <c r="N15" s="40"/>
      <c r="O15" s="64">
        <f>SUM(K15:N15)</f>
        <v>0</v>
      </c>
      <c r="P15" s="40"/>
      <c r="Q15" s="64">
        <f>SUM(O15,C15:I15)</f>
        <v>38492</v>
      </c>
      <c r="R15" s="40"/>
      <c r="S15" s="64">
        <v>20</v>
      </c>
      <c r="T15" s="40"/>
      <c r="U15" s="64">
        <f>SUM(Q15:S15)</f>
        <v>38512</v>
      </c>
    </row>
    <row r="16" spans="1:21" ht="24" customHeight="1">
      <c r="A16" s="4" t="s">
        <v>82</v>
      </c>
      <c r="C16" s="65">
        <v>0</v>
      </c>
      <c r="D16" s="40"/>
      <c r="E16" s="65">
        <v>0</v>
      </c>
      <c r="F16" s="40"/>
      <c r="G16" s="65">
        <v>0</v>
      </c>
      <c r="H16" s="40"/>
      <c r="I16" s="65">
        <v>0</v>
      </c>
      <c r="J16" s="40"/>
      <c r="K16" s="65">
        <v>-221</v>
      </c>
      <c r="L16" s="40"/>
      <c r="M16" s="65">
        <v>0</v>
      </c>
      <c r="N16" s="40"/>
      <c r="O16" s="65">
        <f>SUM(K16:N16)</f>
        <v>-221</v>
      </c>
      <c r="P16" s="40"/>
      <c r="Q16" s="65">
        <f>SUM(O16,C16:I16)</f>
        <v>-221</v>
      </c>
      <c r="R16" s="40"/>
      <c r="S16" s="65">
        <v>4</v>
      </c>
      <c r="T16" s="40"/>
      <c r="U16" s="65">
        <f>SUM(S16,G16:M16)</f>
        <v>-217</v>
      </c>
    </row>
    <row r="17" spans="1:22" ht="24" customHeight="1">
      <c r="A17" s="4" t="s">
        <v>83</v>
      </c>
      <c r="C17" s="52">
        <f>SUM(C15:C16)</f>
        <v>0</v>
      </c>
      <c r="D17" s="40"/>
      <c r="E17" s="52">
        <f>SUM(E15:E16)</f>
        <v>0</v>
      </c>
      <c r="F17" s="40"/>
      <c r="G17" s="52">
        <f>SUM(G15:G16)</f>
        <v>0</v>
      </c>
      <c r="H17" s="40"/>
      <c r="I17" s="52">
        <f>SUM(I15:I16)</f>
        <v>38492</v>
      </c>
      <c r="J17" s="40"/>
      <c r="K17" s="52">
        <f>SUM(K15:K16)</f>
        <v>-221</v>
      </c>
      <c r="L17" s="40"/>
      <c r="M17" s="52">
        <f>SUM(M15:M16)</f>
        <v>0</v>
      </c>
      <c r="N17" s="40"/>
      <c r="O17" s="52">
        <f>SUM(O15:O16)</f>
        <v>-221</v>
      </c>
      <c r="P17" s="40"/>
      <c r="Q17" s="52">
        <f>SUM(Q15:Q16)</f>
        <v>38271</v>
      </c>
      <c r="R17" s="40"/>
      <c r="S17" s="52">
        <f>SUM(S15:S16)</f>
        <v>24</v>
      </c>
      <c r="T17" s="40"/>
      <c r="U17" s="52">
        <f>SUM(U15:U16)</f>
        <v>38295</v>
      </c>
    </row>
    <row r="18" spans="1:22" ht="24" customHeight="1" thickBot="1">
      <c r="A18" s="1" t="s">
        <v>153</v>
      </c>
      <c r="C18" s="41">
        <f>SUM(C14,C17:C17)</f>
        <v>400000</v>
      </c>
      <c r="D18" s="40"/>
      <c r="E18" s="41">
        <f>SUM(E14,E17:E17)</f>
        <v>6000</v>
      </c>
      <c r="F18" s="40"/>
      <c r="G18" s="41">
        <f>SUM(G14,G17:G17)</f>
        <v>40000</v>
      </c>
      <c r="H18" s="40"/>
      <c r="I18" s="41">
        <f>SUM(I14,I17:I17)</f>
        <v>45180</v>
      </c>
      <c r="J18" s="40"/>
      <c r="K18" s="41">
        <f>SUM(K14,K17:K17)</f>
        <v>-469</v>
      </c>
      <c r="L18" s="40"/>
      <c r="M18" s="41">
        <f>SUM(M14,M17:M17)</f>
        <v>4303</v>
      </c>
      <c r="N18" s="40"/>
      <c r="O18" s="41">
        <f>SUM(O14,O17:O17)</f>
        <v>3834</v>
      </c>
      <c r="P18" s="40"/>
      <c r="Q18" s="41">
        <f>SUM(Q14,Q17:Q17)</f>
        <v>495014</v>
      </c>
      <c r="R18" s="40"/>
      <c r="S18" s="41">
        <f>SUM(S14,S17:S17)</f>
        <v>44</v>
      </c>
      <c r="T18" s="40"/>
      <c r="U18" s="41">
        <f>SUM(U14,U17:U17)</f>
        <v>495058</v>
      </c>
    </row>
    <row r="19" spans="1:22" ht="24" customHeight="1" thickTop="1"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27"/>
    </row>
    <row r="20" spans="1:22" ht="24" customHeight="1">
      <c r="A20" s="1" t="s">
        <v>164</v>
      </c>
      <c r="C20" s="40">
        <v>400000</v>
      </c>
      <c r="D20" s="40"/>
      <c r="E20" s="40">
        <v>6000</v>
      </c>
      <c r="F20" s="40"/>
      <c r="G20" s="40">
        <v>40000</v>
      </c>
      <c r="H20" s="40"/>
      <c r="I20" s="40">
        <v>137411</v>
      </c>
      <c r="J20" s="40"/>
      <c r="K20" s="40">
        <v>-334</v>
      </c>
      <c r="L20" s="40"/>
      <c r="M20" s="40">
        <v>4303</v>
      </c>
      <c r="N20" s="40"/>
      <c r="O20" s="40">
        <f>SUM(K20:N20)</f>
        <v>3969</v>
      </c>
      <c r="P20" s="40"/>
      <c r="Q20" s="40">
        <f t="shared" ref="Q20" si="0">SUM(O20,C20:I20)</f>
        <v>587380</v>
      </c>
      <c r="R20" s="40"/>
      <c r="S20" s="40">
        <v>-36</v>
      </c>
      <c r="T20" s="40"/>
      <c r="U20" s="40">
        <f>SUM(Q20:S20)</f>
        <v>587344</v>
      </c>
    </row>
    <row r="21" spans="1:22" ht="24" customHeight="1">
      <c r="A21" s="4" t="s">
        <v>159</v>
      </c>
      <c r="C21" s="64">
        <v>0</v>
      </c>
      <c r="D21" s="40"/>
      <c r="E21" s="64">
        <v>0</v>
      </c>
      <c r="F21" s="40"/>
      <c r="G21" s="64">
        <v>0</v>
      </c>
      <c r="H21" s="40"/>
      <c r="I21" s="64">
        <f>'PL&amp;CF'!E107</f>
        <v>137355</v>
      </c>
      <c r="J21" s="40"/>
      <c r="K21" s="64">
        <v>0</v>
      </c>
      <c r="L21" s="40"/>
      <c r="M21" s="64">
        <v>0</v>
      </c>
      <c r="N21" s="40"/>
      <c r="O21" s="64">
        <f>SUM(K21:N21)</f>
        <v>0</v>
      </c>
      <c r="P21" s="40"/>
      <c r="Q21" s="64">
        <f>SUM(O21,C21:I21)</f>
        <v>137355</v>
      </c>
      <c r="R21" s="40"/>
      <c r="S21" s="64">
        <f>'PL&amp;CF'!E108</f>
        <v>-36</v>
      </c>
      <c r="T21" s="40"/>
      <c r="U21" s="64">
        <f>SUM(Q21:S21)</f>
        <v>137319</v>
      </c>
    </row>
    <row r="22" spans="1:22" ht="24" customHeight="1">
      <c r="A22" s="4" t="s">
        <v>82</v>
      </c>
      <c r="C22" s="65">
        <v>0</v>
      </c>
      <c r="D22" s="40"/>
      <c r="E22" s="65">
        <v>0</v>
      </c>
      <c r="F22" s="40"/>
      <c r="G22" s="65">
        <v>0</v>
      </c>
      <c r="H22" s="40"/>
      <c r="I22" s="65">
        <f>'PL&amp;CF'!E92</f>
        <v>1526</v>
      </c>
      <c r="J22" s="40"/>
      <c r="K22" s="65">
        <f>'PL&amp;CF'!E112-'PL&amp;CF'!E107-I22</f>
        <v>467</v>
      </c>
      <c r="L22" s="40"/>
      <c r="M22" s="65">
        <v>0</v>
      </c>
      <c r="N22" s="40"/>
      <c r="O22" s="65">
        <f>SUM(K22:N22)</f>
        <v>467</v>
      </c>
      <c r="P22" s="40"/>
      <c r="Q22" s="65">
        <f>SUM(O22,C22:I22)</f>
        <v>1993</v>
      </c>
      <c r="R22" s="40"/>
      <c r="S22" s="65">
        <f>'PL&amp;CF'!E113-'PL&amp;CF'!E108</f>
        <v>-1</v>
      </c>
      <c r="T22" s="40"/>
      <c r="U22" s="65">
        <f>SUM(S22,G22:M22)</f>
        <v>1992</v>
      </c>
    </row>
    <row r="23" spans="1:22" ht="24" customHeight="1">
      <c r="A23" s="4" t="s">
        <v>83</v>
      </c>
      <c r="C23" s="62">
        <f>SUM(C21:C22)</f>
        <v>0</v>
      </c>
      <c r="D23" s="40"/>
      <c r="E23" s="62">
        <f>SUM(E21:E22)</f>
        <v>0</v>
      </c>
      <c r="F23" s="40"/>
      <c r="G23" s="62">
        <f>SUM(G21:G22)</f>
        <v>0</v>
      </c>
      <c r="H23" s="40"/>
      <c r="I23" s="62">
        <f>SUM(I21:I22)</f>
        <v>138881</v>
      </c>
      <c r="J23" s="40"/>
      <c r="K23" s="52">
        <f>SUM(K21:K22)</f>
        <v>467</v>
      </c>
      <c r="L23" s="40"/>
      <c r="M23" s="62">
        <f>SUM(M21:M22)</f>
        <v>0</v>
      </c>
      <c r="N23" s="40"/>
      <c r="O23" s="52">
        <f>SUM(K23:N23)</f>
        <v>467</v>
      </c>
      <c r="P23" s="40"/>
      <c r="Q23" s="52">
        <f>SUM(O23,C23:I23)</f>
        <v>139348</v>
      </c>
      <c r="R23" s="40"/>
      <c r="S23" s="52">
        <f>SUM(S21:S22)</f>
        <v>-37</v>
      </c>
      <c r="T23" s="40"/>
      <c r="U23" s="62">
        <f>SUM(U21:U22)</f>
        <v>139311</v>
      </c>
    </row>
    <row r="24" spans="1:22" ht="24" customHeight="1" thickBot="1">
      <c r="A24" s="1" t="s">
        <v>165</v>
      </c>
      <c r="C24" s="42">
        <f>SUM(C20,C23:C23)</f>
        <v>400000</v>
      </c>
      <c r="D24" s="40"/>
      <c r="E24" s="42">
        <f>SUM(E20,E23:E23)</f>
        <v>6000</v>
      </c>
      <c r="F24" s="40"/>
      <c r="G24" s="42">
        <f>SUM(G20,G23:G23)</f>
        <v>40000</v>
      </c>
      <c r="H24" s="40"/>
      <c r="I24" s="42">
        <f>SUM(I20,I23:I23)</f>
        <v>276292</v>
      </c>
      <c r="J24" s="40"/>
      <c r="K24" s="41">
        <f>SUM(K20,K23:K23)</f>
        <v>133</v>
      </c>
      <c r="L24" s="40"/>
      <c r="M24" s="42">
        <f>SUM(M20,M23:M23)</f>
        <v>4303</v>
      </c>
      <c r="N24" s="40"/>
      <c r="O24" s="41">
        <f>SUM(O20,O23:O23)</f>
        <v>4436</v>
      </c>
      <c r="P24" s="40"/>
      <c r="Q24" s="41">
        <f>SUM(Q20,Q23:Q23)</f>
        <v>726728</v>
      </c>
      <c r="R24" s="40"/>
      <c r="S24" s="41">
        <f>SUM(S20,S23:S23)</f>
        <v>-73</v>
      </c>
      <c r="T24" s="40"/>
      <c r="U24" s="42">
        <f>SUM(U20,U23:U23)</f>
        <v>726655</v>
      </c>
      <c r="V24" s="27"/>
    </row>
    <row r="25" spans="1:22" ht="24" customHeight="1" thickTop="1"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27">
        <f>U24-'BS '!D93</f>
        <v>0</v>
      </c>
    </row>
    <row r="26" spans="1:22" ht="24" customHeight="1">
      <c r="A26" s="71" t="s">
        <v>172</v>
      </c>
      <c r="F26" s="6"/>
    </row>
    <row r="158" spans="5:5" ht="24" customHeight="1">
      <c r="E158" s="2">
        <f>SUM(E160-E159)</f>
        <v>0</v>
      </c>
    </row>
    <row r="163" spans="5:5" ht="24" customHeight="1">
      <c r="E163" s="2">
        <f>E158/E164*1000</f>
        <v>0</v>
      </c>
    </row>
    <row r="164" spans="5:5" ht="24" customHeight="1">
      <c r="E164" s="2">
        <v>1512787759</v>
      </c>
    </row>
    <row r="225" spans="9:9" ht="24" customHeight="1">
      <c r="I225" s="2">
        <v>-96927</v>
      </c>
    </row>
    <row r="251" spans="5:9" ht="24" customHeight="1">
      <c r="E251" s="2" t="e">
        <f>#REF!</f>
        <v>#REF!</v>
      </c>
    </row>
    <row r="252" spans="5:9" ht="24" customHeight="1">
      <c r="E252" s="2" t="e">
        <f>SUM(E250:E251)</f>
        <v>#REF!</v>
      </c>
    </row>
    <row r="253" spans="5:9" ht="24" customHeight="1">
      <c r="I253" s="2" t="e">
        <f>SUM(I252-#REF!)</f>
        <v>#REF!</v>
      </c>
    </row>
  </sheetData>
  <customSheetViews>
    <customSheetView guid="{70B1E187-2C74-4CE5-B1A1-8B33C5B641E8}" scale="75" showGridLines="0" showRuler="0" topLeftCell="A11">
      <selection activeCell="A32" sqref="A32"/>
      <pageMargins left="0.75" right="0.33" top="0.72" bottom="0.24" header="0.5" footer="0.3"/>
      <printOptions horizontalCentered="1"/>
      <pageSetup scale="70" orientation="landscape" r:id="rId1"/>
      <headerFooter alignWithMargins="0"/>
    </customSheetView>
  </customSheetViews>
  <mergeCells count="8">
    <mergeCell ref="G12:I12"/>
    <mergeCell ref="A2:U2"/>
    <mergeCell ref="A4:U4"/>
    <mergeCell ref="A5:U5"/>
    <mergeCell ref="A6:U6"/>
    <mergeCell ref="C7:U7"/>
    <mergeCell ref="K9:O9"/>
    <mergeCell ref="C8:Q8"/>
  </mergeCells>
  <phoneticPr fontId="0" type="noConversion"/>
  <printOptions horizontalCentered="1"/>
  <pageMargins left="0.23622047244094499" right="0.23622047244094499" top="0.90500000000000003" bottom="0.196850393700787" header="0.196850393700787" footer="0.196850393700787"/>
  <pageSetup paperSize="9" scale="67" orientation="landscape" r:id="rId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254"/>
  <sheetViews>
    <sheetView showGridLines="0" view="pageBreakPreview" zoomScale="55" zoomScaleSheetLayoutView="55" workbookViewId="0">
      <selection activeCell="A27" sqref="A27"/>
    </sheetView>
  </sheetViews>
  <sheetFormatPr defaultColWidth="9.140625" defaultRowHeight="24" customHeight="1"/>
  <cols>
    <col min="1" max="1" width="45.28515625" style="2" customWidth="1"/>
    <col min="2" max="2" width="19.7109375" style="2" customWidth="1"/>
    <col min="3" max="3" width="1.5703125" style="2" customWidth="1"/>
    <col min="4" max="4" width="19.7109375" style="2" customWidth="1"/>
    <col min="5" max="5" width="1.5703125" style="2" customWidth="1"/>
    <col min="6" max="6" width="19.7109375" style="2" customWidth="1"/>
    <col min="7" max="7" width="1.5703125" style="2" customWidth="1"/>
    <col min="8" max="8" width="19.7109375" style="2" customWidth="1"/>
    <col min="9" max="9" width="1.5703125" style="2" customWidth="1"/>
    <col min="10" max="10" width="19.7109375" style="2" customWidth="1"/>
    <col min="11" max="11" width="1.5703125" style="2" customWidth="1"/>
    <col min="12" max="12" width="19.7109375" style="2" customWidth="1"/>
    <col min="13" max="13" width="5.5703125" style="2" bestFit="1" customWidth="1"/>
    <col min="14" max="16384" width="9.140625" style="2"/>
  </cols>
  <sheetData>
    <row r="1" spans="1:14" ht="24" customHeight="1">
      <c r="L1" s="55" t="s">
        <v>139</v>
      </c>
    </row>
    <row r="2" spans="1:14" ht="24" customHeight="1">
      <c r="A2" s="151" t="s">
        <v>180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</row>
    <row r="3" spans="1:14" ht="24" customHeight="1">
      <c r="A3" s="108" t="s">
        <v>179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</row>
    <row r="4" spans="1:14" ht="24" customHeight="1">
      <c r="A4" s="151" t="s">
        <v>35</v>
      </c>
      <c r="B4" s="151"/>
      <c r="C4" s="151"/>
      <c r="D4" s="151"/>
      <c r="E4" s="151"/>
      <c r="F4" s="151"/>
      <c r="G4" s="151"/>
      <c r="H4" s="151"/>
      <c r="I4" s="151"/>
      <c r="J4" s="151"/>
      <c r="K4" s="151"/>
      <c r="L4" s="151"/>
    </row>
    <row r="5" spans="1:14" ht="24" customHeight="1">
      <c r="A5" s="151" t="s">
        <v>163</v>
      </c>
      <c r="B5" s="151"/>
      <c r="C5" s="151"/>
      <c r="D5" s="151"/>
      <c r="E5" s="151"/>
      <c r="F5" s="151"/>
      <c r="G5" s="151"/>
      <c r="H5" s="151"/>
      <c r="I5" s="151"/>
      <c r="J5" s="151"/>
      <c r="K5" s="151"/>
      <c r="L5" s="151"/>
      <c r="M5" s="5"/>
      <c r="N5" s="5"/>
    </row>
    <row r="6" spans="1:14" ht="24" customHeight="1">
      <c r="A6" s="152" t="s">
        <v>36</v>
      </c>
      <c r="B6" s="152"/>
      <c r="C6" s="152"/>
      <c r="D6" s="152"/>
      <c r="E6" s="152"/>
      <c r="F6" s="152"/>
      <c r="G6" s="152"/>
      <c r="H6" s="152"/>
      <c r="I6" s="152"/>
      <c r="J6" s="152"/>
      <c r="K6" s="152"/>
      <c r="L6" s="152"/>
    </row>
    <row r="7" spans="1:14" ht="24" customHeight="1">
      <c r="A7" s="7"/>
      <c r="B7" s="153" t="s">
        <v>31</v>
      </c>
      <c r="C7" s="153"/>
      <c r="D7" s="153"/>
      <c r="E7" s="153"/>
      <c r="F7" s="153"/>
      <c r="G7" s="153"/>
      <c r="H7" s="153"/>
      <c r="I7" s="153"/>
      <c r="J7" s="153"/>
      <c r="K7" s="153"/>
      <c r="L7" s="153"/>
    </row>
    <row r="8" spans="1:14" ht="24" customHeight="1">
      <c r="A8" s="7"/>
      <c r="B8" s="39"/>
      <c r="C8" s="39"/>
      <c r="D8" s="39"/>
      <c r="E8" s="39"/>
      <c r="F8" s="39"/>
      <c r="G8" s="39"/>
      <c r="H8" s="39"/>
      <c r="I8" s="39"/>
      <c r="J8" s="7" t="s">
        <v>112</v>
      </c>
      <c r="K8" s="7"/>
      <c r="L8" s="39"/>
    </row>
    <row r="9" spans="1:14" ht="24" customHeight="1">
      <c r="A9" s="7"/>
      <c r="B9" s="39"/>
      <c r="C9" s="39"/>
      <c r="D9" s="39"/>
      <c r="E9" s="39"/>
      <c r="F9" s="39"/>
      <c r="G9" s="39"/>
      <c r="H9" s="39"/>
      <c r="I9" s="39"/>
      <c r="J9" s="61" t="s">
        <v>8</v>
      </c>
      <c r="K9" s="53"/>
      <c r="L9" s="39"/>
    </row>
    <row r="10" spans="1:14" s="7" customFormat="1" ht="24" customHeight="1">
      <c r="B10" s="7" t="s">
        <v>80</v>
      </c>
      <c r="D10" s="7" t="s">
        <v>65</v>
      </c>
      <c r="F10" s="150" t="s">
        <v>27</v>
      </c>
      <c r="G10" s="150"/>
      <c r="H10" s="150"/>
      <c r="J10" s="7" t="s">
        <v>115</v>
      </c>
      <c r="L10" s="7" t="s">
        <v>13</v>
      </c>
    </row>
    <row r="11" spans="1:14" s="7" customFormat="1" ht="24" customHeight="1">
      <c r="B11" s="61" t="s">
        <v>89</v>
      </c>
      <c r="D11" s="61" t="s">
        <v>64</v>
      </c>
      <c r="F11" s="61" t="s">
        <v>14</v>
      </c>
      <c r="H11" s="61" t="s">
        <v>15</v>
      </c>
      <c r="J11" s="61" t="s">
        <v>101</v>
      </c>
      <c r="L11" s="61" t="s">
        <v>8</v>
      </c>
    </row>
    <row r="12" spans="1:14" ht="24" customHeight="1">
      <c r="A12" s="1" t="s">
        <v>152</v>
      </c>
      <c r="B12" s="40">
        <v>400000</v>
      </c>
      <c r="C12" s="40">
        <v>0</v>
      </c>
      <c r="D12" s="40">
        <v>6000</v>
      </c>
      <c r="E12" s="40">
        <v>0</v>
      </c>
      <c r="F12" s="40">
        <v>40000</v>
      </c>
      <c r="G12" s="40">
        <v>0</v>
      </c>
      <c r="H12" s="40">
        <v>-5863</v>
      </c>
      <c r="I12" s="40">
        <v>0</v>
      </c>
      <c r="J12" s="40">
        <v>4303</v>
      </c>
      <c r="K12" s="40"/>
      <c r="L12" s="40">
        <f>SUM(B12:K12)</f>
        <v>444440</v>
      </c>
    </row>
    <row r="13" spans="1:14" ht="24" customHeight="1">
      <c r="A13" s="4" t="s">
        <v>83</v>
      </c>
      <c r="B13" s="40">
        <v>0</v>
      </c>
      <c r="C13" s="40"/>
      <c r="D13" s="40">
        <v>0</v>
      </c>
      <c r="E13" s="40"/>
      <c r="F13" s="40">
        <v>0</v>
      </c>
      <c r="G13" s="40"/>
      <c r="H13" s="40">
        <v>37142</v>
      </c>
      <c r="I13" s="40"/>
      <c r="J13" s="40">
        <v>0</v>
      </c>
      <c r="K13" s="40"/>
      <c r="L13" s="40">
        <f>SUM(B13:K13)</f>
        <v>37142</v>
      </c>
      <c r="M13" s="6"/>
      <c r="N13" s="6"/>
    </row>
    <row r="14" spans="1:14" ht="24" customHeight="1" thickBot="1">
      <c r="A14" s="1" t="s">
        <v>153</v>
      </c>
      <c r="B14" s="41">
        <f>SUM(B12:B13)</f>
        <v>400000</v>
      </c>
      <c r="C14" s="40"/>
      <c r="D14" s="41">
        <f>SUM(D12:D13)</f>
        <v>6000</v>
      </c>
      <c r="E14" s="40"/>
      <c r="F14" s="41">
        <f>SUM(F12:F13)</f>
        <v>40000</v>
      </c>
      <c r="G14" s="40"/>
      <c r="H14" s="41">
        <f>SUM(H12:H13)</f>
        <v>31279</v>
      </c>
      <c r="I14" s="40"/>
      <c r="J14" s="41">
        <f>SUM(J12:J13)</f>
        <v>4303</v>
      </c>
      <c r="K14" s="40"/>
      <c r="L14" s="41">
        <f>SUM(L12:L13)</f>
        <v>481582</v>
      </c>
    </row>
    <row r="15" spans="1:14" ht="24" customHeight="1" thickTop="1">
      <c r="A15" s="4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</row>
    <row r="16" spans="1:14" ht="24" customHeight="1">
      <c r="A16" s="1" t="s">
        <v>164</v>
      </c>
      <c r="B16" s="40">
        <v>400000</v>
      </c>
      <c r="C16" s="40"/>
      <c r="D16" s="40">
        <v>6000</v>
      </c>
      <c r="E16" s="40"/>
      <c r="F16" s="40">
        <v>40000</v>
      </c>
      <c r="G16" s="40"/>
      <c r="H16" s="40">
        <v>133207</v>
      </c>
      <c r="I16" s="40"/>
      <c r="J16" s="40">
        <v>4303</v>
      </c>
      <c r="K16" s="40"/>
      <c r="L16" s="40">
        <f>SUM(J16,B16:H16)</f>
        <v>583510</v>
      </c>
    </row>
    <row r="17" spans="1:14" s="118" customFormat="1" ht="24" customHeight="1">
      <c r="A17" s="119" t="s">
        <v>159</v>
      </c>
      <c r="B17" s="123">
        <v>0</v>
      </c>
      <c r="C17" s="122"/>
      <c r="D17" s="123">
        <v>0</v>
      </c>
      <c r="E17" s="122"/>
      <c r="F17" s="123">
        <v>0</v>
      </c>
      <c r="G17" s="122"/>
      <c r="H17" s="123">
        <f>'PL&amp;CF'!I107</f>
        <v>135677</v>
      </c>
      <c r="I17" s="122"/>
      <c r="J17" s="123">
        <v>0</v>
      </c>
      <c r="K17" s="122"/>
      <c r="L17" s="123">
        <f t="shared" ref="L17:L18" si="0">SUM(J17,B17:H17)</f>
        <v>135677</v>
      </c>
    </row>
    <row r="18" spans="1:14" s="118" customFormat="1" ht="24" customHeight="1">
      <c r="A18" s="119" t="s">
        <v>82</v>
      </c>
      <c r="B18" s="124">
        <v>0</v>
      </c>
      <c r="C18" s="122"/>
      <c r="D18" s="124">
        <v>0</v>
      </c>
      <c r="E18" s="122"/>
      <c r="F18" s="124">
        <v>0</v>
      </c>
      <c r="G18" s="122"/>
      <c r="H18" s="124">
        <f>'PL&amp;CF'!I112-'PL&amp;CF'!I107</f>
        <v>1526</v>
      </c>
      <c r="I18" s="122"/>
      <c r="J18" s="124">
        <v>0</v>
      </c>
      <c r="K18" s="122"/>
      <c r="L18" s="124">
        <f t="shared" si="0"/>
        <v>1526</v>
      </c>
    </row>
    <row r="19" spans="1:14" ht="24" customHeight="1">
      <c r="A19" s="4" t="s">
        <v>83</v>
      </c>
      <c r="B19" s="25">
        <f>SUM(B17:B18)</f>
        <v>0</v>
      </c>
      <c r="C19" s="40"/>
      <c r="D19" s="121">
        <f>SUM(D17:D18)</f>
        <v>0</v>
      </c>
      <c r="E19" s="40"/>
      <c r="F19" s="121">
        <f>SUM(F17:F18)</f>
        <v>0</v>
      </c>
      <c r="G19" s="40"/>
      <c r="H19" s="121">
        <f>SUM(H17:H18)</f>
        <v>137203</v>
      </c>
      <c r="I19" s="40"/>
      <c r="J19" s="121">
        <f>SUM(J17:J18)</f>
        <v>0</v>
      </c>
      <c r="K19" s="40"/>
      <c r="L19" s="121">
        <f>SUM(L17:L18)</f>
        <v>137203</v>
      </c>
      <c r="M19" s="6"/>
      <c r="N19" s="6"/>
    </row>
    <row r="20" spans="1:14" ht="24" customHeight="1" thickBot="1">
      <c r="A20" s="1" t="s">
        <v>165</v>
      </c>
      <c r="B20" s="41">
        <f>SUM(B16,B19)</f>
        <v>400000</v>
      </c>
      <c r="C20" s="40"/>
      <c r="D20" s="41">
        <f>SUM(D16,D19)</f>
        <v>6000</v>
      </c>
      <c r="E20" s="40"/>
      <c r="F20" s="41">
        <f>SUM(F16,F19)</f>
        <v>40000</v>
      </c>
      <c r="G20" s="40"/>
      <c r="H20" s="41">
        <f>SUM(H16,H19)</f>
        <v>270410</v>
      </c>
      <c r="I20" s="40"/>
      <c r="J20" s="41">
        <f>SUM(J16,J19)</f>
        <v>4303</v>
      </c>
      <c r="K20" s="40"/>
      <c r="L20" s="41">
        <f>SUM(L16,L19)</f>
        <v>720713</v>
      </c>
      <c r="M20" s="27"/>
    </row>
    <row r="21" spans="1:14" ht="24" customHeight="1" thickTop="1">
      <c r="A21" s="4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">
        <f>L20-'BS '!H93</f>
        <v>0</v>
      </c>
    </row>
    <row r="22" spans="1:14" ht="24" customHeight="1">
      <c r="A22" s="71" t="s">
        <v>172</v>
      </c>
      <c r="B22" s="27"/>
      <c r="C22" s="27"/>
      <c r="D22" s="27"/>
      <c r="E22" s="27" t="s">
        <v>97</v>
      </c>
      <c r="F22" s="27"/>
      <c r="G22" s="27"/>
      <c r="H22" s="27"/>
      <c r="I22" s="27"/>
      <c r="J22" s="27"/>
      <c r="K22" s="27"/>
      <c r="L22" s="27"/>
    </row>
    <row r="159" spans="4:10" ht="24" customHeight="1">
      <c r="D159" s="2">
        <f>SUM(D161-D160)</f>
        <v>0</v>
      </c>
      <c r="J159" s="2">
        <f>SUM(J161-J160)</f>
        <v>0</v>
      </c>
    </row>
    <row r="164" spans="4:10" ht="24" customHeight="1">
      <c r="D164" s="2">
        <f>D159/D165*1000</f>
        <v>0</v>
      </c>
      <c r="J164" s="2">
        <f>J159/J165*1000</f>
        <v>0</v>
      </c>
    </row>
    <row r="165" spans="4:10" ht="24" customHeight="1">
      <c r="D165" s="2">
        <v>1512787759</v>
      </c>
      <c r="J165" s="2">
        <v>1512787759</v>
      </c>
    </row>
    <row r="226" spans="8:8" ht="24" customHeight="1">
      <c r="H226" s="2">
        <v>-96927</v>
      </c>
    </row>
    <row r="252" spans="4:10" ht="24" customHeight="1">
      <c r="D252" s="2" t="e">
        <f>#REF!</f>
        <v>#REF!</v>
      </c>
      <c r="J252" s="2" t="s">
        <v>66</v>
      </c>
    </row>
    <row r="253" spans="4:10" ht="24" customHeight="1">
      <c r="D253" s="2" t="e">
        <f>SUM(D251:D252)</f>
        <v>#REF!</v>
      </c>
    </row>
    <row r="254" spans="4:10" ht="24" customHeight="1">
      <c r="H254" s="2" t="e">
        <f>SUM(H253-H11)</f>
        <v>#VALUE!</v>
      </c>
    </row>
  </sheetData>
  <customSheetViews>
    <customSheetView guid="{70B1E187-2C74-4CE5-B1A1-8B33C5B641E8}" scale="80" showGridLines="0" showRuler="0" topLeftCell="A4">
      <selection activeCell="C23" sqref="C23"/>
      <pageMargins left="0.74803149606299202" right="0.37" top="0.63" bottom="0.49" header="0.511811023622047" footer="0.511811023622047"/>
      <printOptions horizontalCentered="1"/>
      <pageSetup scale="73" orientation="landscape" r:id="rId1"/>
      <headerFooter alignWithMargins="0"/>
    </customSheetView>
  </customSheetViews>
  <mergeCells count="6">
    <mergeCell ref="F10:H10"/>
    <mergeCell ref="B7:L7"/>
    <mergeCell ref="A2:L2"/>
    <mergeCell ref="A4:L4"/>
    <mergeCell ref="A5:L5"/>
    <mergeCell ref="A6:L6"/>
  </mergeCells>
  <phoneticPr fontId="0" type="noConversion"/>
  <printOptions horizontalCentered="1"/>
  <pageMargins left="0.31496062992125984" right="0.31496062992125984" top="0.9055118110236221" bottom="0.39370078740157483" header="0.19685039370078741" footer="0.19685039370078741"/>
  <pageSetup paperSize="9" scale="83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12.75"/>
  <sheetData/>
  <customSheetViews>
    <customSheetView guid="{70B1E187-2C74-4CE5-B1A1-8B33C5B641E8}" state="veryHidden" showRuler="0">
      <pageMargins left="0.75" right="0.75" top="1" bottom="1" header="0.5" footer="0.5"/>
      <headerFooter alignWithMargins="0">
        <oddHeader>&amp;A</oddHeader>
        <oddFooter>Page &amp;P</oddFooter>
      </headerFooter>
    </customSheetView>
  </customSheetViews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BS </vt:lpstr>
      <vt:lpstr>PL&amp;CF</vt:lpstr>
      <vt:lpstr>Conso</vt:lpstr>
      <vt:lpstr>The Company</vt:lpstr>
      <vt:lpstr>Conso!Print_Area</vt:lpstr>
      <vt:lpstr>'PL&amp;CF'!Print_Area</vt:lpstr>
      <vt:lpstr>'The Company'!Print_Area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ERNST&amp;YOUNG</dc:creator>
  <cp:lastModifiedBy>Chittima Ratsameematmuang</cp:lastModifiedBy>
  <cp:lastPrinted>2020-08-13T09:15:50Z</cp:lastPrinted>
  <dcterms:created xsi:type="dcterms:W3CDTF">1997-08-09T04:30:16Z</dcterms:created>
  <dcterms:modified xsi:type="dcterms:W3CDTF">2020-08-14T06:16:55Z</dcterms:modified>
</cp:coreProperties>
</file>